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5"/>
    <sheet state="visible" name="WWI Memorials" sheetId="2" r:id="rId6"/>
    <sheet state="visible" name="WWII Memorials" sheetId="3" r:id="rId7"/>
    <sheet state="visible" name="Chapters &amp; MacArthur" sheetId="4" r:id="rId8"/>
    <sheet state="visible" name="Flower Calendar" sheetId="5" r:id="rId9"/>
    <sheet state="visible" name="Fulfillment Log" sheetId="6" r:id="rId10"/>
  </sheets>
  <definedNames>
    <definedName hidden="1" localSheetId="1" name="_xlnm._FilterDatabase">'WWI Memorials'!$A$3:$R$76</definedName>
    <definedName hidden="1" localSheetId="2" name="_xlnm._FilterDatabase">'WWII Memorials'!$A$3:$R$34</definedName>
    <definedName hidden="1" localSheetId="3" name="_xlnm._FilterDatabase">'Chapters &amp; MacArthur'!$A$3:$R$13</definedName>
  </definedNames>
  <calcPr/>
</workbook>
</file>

<file path=xl/sharedStrings.xml><?xml version="1.0" encoding="utf-8"?>
<sst xmlns="http://schemas.openxmlformats.org/spreadsheetml/2006/main" count="1817" uniqueCount="977">
  <si>
    <t xml:space="preserve">42nd 🌈 (Rainbow) 🌈 Infantry Division - Memorials Tracker </t>
  </si>
  <si>
    <t>United States &amp; Europe · World War I, World War II, and beyond</t>
  </si>
  <si>
    <r>
      <rPr>
        <rFont val="Arial"/>
        <i/>
        <color rgb="FF000000"/>
        <sz val="10.0"/>
      </rPr>
      <t xml:space="preserve">For amendments and additions: contact Erin Faith Allen, </t>
    </r>
    <r>
      <rPr>
        <rFont val="Arial"/>
        <i/>
        <color rgb="FF1155CC"/>
        <sz val="10.0"/>
        <u/>
      </rPr>
      <t>erin@fortitude-research.com</t>
    </r>
  </si>
  <si>
    <t>World War I - Rainbow Division Memorials</t>
  </si>
  <si>
    <t>World War II - Rainbow Division Memorials</t>
  </si>
  <si>
    <t>United States entries first, then Europe. National Memorials shaded yellow. Contact &amp; florist columns are blank for the Division to complete.</t>
  </si>
  <si>
    <t xml:space="preserve">United States entries first, then Europe. National Memorials shaded yellow. </t>
  </si>
  <si>
    <t>General &amp; MacArthur Memorials</t>
  </si>
  <si>
    <t>Purpose</t>
  </si>
  <si>
    <t>No.</t>
  </si>
  <si>
    <t>A master database of every known memorial, monument, plaque, grave, and site honoring the 42nd (Rainbow) Division, so the Division can (1) send flowers on the relevant date for each site, and (2) hold a durable, sourced record of where every memorial stands.</t>
  </si>
  <si>
    <t>Primary Source</t>
  </si>
  <si>
    <t>Division-wide memorials and the Gen. Douglas MacArthur sites (career spans both wars). National Memorials shaded yellow.</t>
  </si>
  <si>
    <t>Designation</t>
  </si>
  <si>
    <r>
      <rPr>
        <rFont val="Arial"/>
        <color rgb="FF000000"/>
        <sz val="10.0"/>
      </rPr>
      <t xml:space="preserve">Foundation: the book </t>
    </r>
    <r>
      <rPr>
        <rFont val="Arial"/>
        <i/>
        <color rgb="FF000000"/>
        <sz val="10.0"/>
      </rPr>
      <t xml:space="preserve">In Search of Rainbow Memorials </t>
    </r>
    <r>
      <rPr>
        <rFont val="Arial"/>
        <color rgb="FF000000"/>
        <sz val="10.0"/>
      </rPr>
      <t xml:space="preserve">(Charles Fowler, RDVA Memorials Officer and Lise Pommois; The Aberjona Press, 2003). Entries and page references trace to that book's 'Rainbow Sites' index and its chapter text. </t>
    </r>
  </si>
  <si>
    <t>Region</t>
  </si>
  <si>
    <t>Country</t>
  </si>
  <si>
    <t>Tabs</t>
  </si>
  <si>
    <t>State / Province</t>
  </si>
  <si>
    <t xml:space="preserve">• Flower Calendar - for ease of organizing the sending of flowers on appropriate dates. </t>
  </si>
  <si>
    <t>City / Town</t>
  </si>
  <si>
    <t>Memorial / Site Name</t>
  </si>
  <si>
    <t>• WWI Memorials - sites tied to the Division's World War I service, U.S. entries first, then Europe as of 2003.</t>
  </si>
  <si>
    <t>Type</t>
  </si>
  <si>
    <t>• WWII Memorials - sites tied to the Division's World War II service, U.S. first, then Europe as of 2003.</t>
  </si>
  <si>
    <t>Honoree / Unit</t>
  </si>
  <si>
    <t>Address / Location Detail</t>
  </si>
  <si>
    <t>• Chapters &amp; MacArthur - Division-wide memorials, chapter plaques, and the Gen. Douglas MacArthur memorials (his command spans both eras) as of 2003.</t>
  </si>
  <si>
    <t>Relevant Date (for flowers)</t>
  </si>
  <si>
    <r>
      <rPr>
        <rFont val="Arial"/>
        <color rgb="FF000000"/>
        <sz val="10.0"/>
      </rPr>
      <t xml:space="preserve">• Post 2003 Memorials -  This will capture all new memorials created since </t>
    </r>
    <r>
      <rPr>
        <rFont val="Arial"/>
        <i/>
        <color rgb="FF000000"/>
        <sz val="10.0"/>
      </rPr>
      <t>In Search of Rainbow Memorials</t>
    </r>
    <r>
      <rPr>
        <rFont val="Arial"/>
        <color rgb="FF000000"/>
        <sz val="10.0"/>
      </rPr>
      <t xml:space="preserve"> was published in 2003.</t>
    </r>
  </si>
  <si>
    <t>Date Type</t>
  </si>
  <si>
    <t>Contact Name</t>
  </si>
  <si>
    <t>Contact Phone / Email</t>
  </si>
  <si>
    <t>Local Florist</t>
  </si>
  <si>
    <t>Flower-Send Notes / Status</t>
  </si>
  <si>
    <t>Book Page</t>
  </si>
  <si>
    <t>Source / Confidence Notes</t>
  </si>
  <si>
    <t>Columns</t>
  </si>
  <si>
    <t>Annual Send Date (MM-DD)</t>
  </si>
  <si>
    <t>Designation: 'National Memorial' (officially designated by the RDVA; shaded yellow) vs. 'Site' (a Rainbow site). Region / Country / State / City / Address locate each memorial. Type describes the object, and Honoree/Unit says who or what it commemorates. Relevant Date (for flowers) is the fitting occasion for that site, with Date Type explaining it. Contact Name and Contact Phone/Email reach the mayor, custodian, or agency responsible; Local Florist is a nearby shop, or for the ABMC cemeteries the ordering process. Annual Send Date is the tidy date the Flower Calendar sorts by. Book Page cites the source, and Source/Confidence Notes carries context and any accuracy flag. Map opens Google Maps at the site's location. Grave Locations (WWII cemetery rows) links to the 42nd Rainbow Wall of Honor, where each man's grave and Plot/Row/Grave can be looked up by cemetery. Flowers ordered, sent, and confirmed are tracked on the Fulfillment Log tab.</t>
  </si>
  <si>
    <t>Map</t>
  </si>
  <si>
    <t>Counts as of July 2026:</t>
  </si>
  <si>
    <t>WWI Memorials: 73   |   WWII Memorials: 31   |   Chapters &amp; MacArthur: 10   |   Total sites: 114</t>
  </si>
  <si>
    <t>Site</t>
  </si>
  <si>
    <t>National Memorial</t>
  </si>
  <si>
    <t>United States</t>
  </si>
  <si>
    <t>USA</t>
  </si>
  <si>
    <t>Arkansas</t>
  </si>
  <si>
    <t>Oklahoma</t>
  </si>
  <si>
    <t>Little Rock</t>
  </si>
  <si>
    <t>Braggs / Muskogee</t>
  </si>
  <si>
    <t>New York</t>
  </si>
  <si>
    <t>MacArthur's Birthplace, MacArthur Park</t>
  </si>
  <si>
    <t>Camp Gruber &amp; Auxiliary Plaque</t>
  </si>
  <si>
    <t>Garden City (Long Island)</t>
  </si>
  <si>
    <t>Park / plaques</t>
  </si>
  <si>
    <t>Training site / plaque</t>
  </si>
  <si>
    <t>Gen. Douglas MacArthur (42nd Div. Chief of Staff/Cmdr, WWI)</t>
  </si>
  <si>
    <t>Rainbow National Monument (Rainbow Division Monument), Rainbow Park</t>
  </si>
  <si>
    <t>42nd Division (WWII reactivation)</t>
  </si>
  <si>
    <t>Museum of Science &amp; History (old Arsenal), 503 East 9th St.</t>
  </si>
  <si>
    <t>Monument</t>
  </si>
  <si>
    <t>Camp Gruber, State Highway 10</t>
  </si>
  <si>
    <t>April 5, 1991</t>
  </si>
  <si>
    <t>42nd Division (WWI), Camp Mills</t>
  </si>
  <si>
    <t>Plaque dedicated</t>
  </si>
  <si>
    <t>July 14, 1943</t>
  </si>
  <si>
    <t>Rainbow Park, former Camp Mills site</t>
  </si>
  <si>
    <t>October 12, 1941</t>
  </si>
  <si>
    <t>Division reactivated</t>
  </si>
  <si>
    <t>Dedication</t>
  </si>
  <si>
    <t>Mayor, Village of Garden City, NY [verify current - Edward T. Finneran per 5/2026]</t>
  </si>
  <si>
    <t>4-5</t>
  </si>
  <si>
    <t>MacArthur born Jan 26, 1880; WWI plaque added July 19, 1996.</t>
  </si>
  <si>
    <r>
      <rPr>
        <rFont val="Arial"/>
        <sz val="9.0"/>
      </rPr>
      <t xml:space="preserve">(516) 465-4000; </t>
    </r>
    <r>
      <rPr>
        <rFont val="Arial"/>
        <color rgb="FF1155CC"/>
        <sz val="9.0"/>
        <u/>
      </rPr>
      <t>gardencityny.net/142/Contact</t>
    </r>
  </si>
  <si>
    <t>69</t>
  </si>
  <si>
    <t>Reactivated July 14, 1943 (25th anniv. of Champagne); plaque dedicated July 10, 2002.</t>
  </si>
  <si>
    <t>The Garden City Florist, 138 Seventh St, Garden City NY 11530, (516) 741-5500</t>
  </si>
  <si>
    <t>11-12</t>
  </si>
  <si>
    <t>30-ton granite monument listing units, states, casualties and campaigns; Camp Mills was the Division's training-camp birthplace.</t>
  </si>
  <si>
    <t>10-12</t>
  </si>
  <si>
    <t>42nd Division - Flower Calendar (auto-sorted by Annual Send Date; updates from the war tabs)</t>
  </si>
  <si>
    <t>Texas</t>
  </si>
  <si>
    <t>Brownwood</t>
  </si>
  <si>
    <t>MacArthur Statue 'The Student', Academy of Freedom</t>
  </si>
  <si>
    <t>Muskogee</t>
  </si>
  <si>
    <t>Statue</t>
  </si>
  <si>
    <t>Rainbow Memorial Amphitheater</t>
  </si>
  <si>
    <t>Gen. Douglas MacArthur</t>
  </si>
  <si>
    <t>New York City</t>
  </si>
  <si>
    <t>Amphitheater</t>
  </si>
  <si>
    <t>Howard Payne College / University</t>
  </si>
  <si>
    <t>Father Duffy's Statue, Duffy Square</t>
  </si>
  <si>
    <t>October 18, 1969</t>
  </si>
  <si>
    <t>42nd Division WWI &amp; WWII dead</t>
  </si>
  <si>
    <t>Statue unveiled</t>
  </si>
  <si>
    <t>Honor Heights Park</t>
  </si>
  <si>
    <t>Chaplain Francis P. Duffy, 165th Infantry</t>
  </si>
  <si>
    <t>Mayor Stephen Haynes, City of Brownwood, TX</t>
  </si>
  <si>
    <t>Duffy Square, Times Square, Broadway &amp; 47th St.</t>
  </si>
  <si>
    <t>July 13, 1976</t>
  </si>
  <si>
    <r>
      <rPr>
        <rFont val="Arial"/>
        <sz val="9.0"/>
      </rPr>
      <t xml:space="preserve">(325) 646-5775; </t>
    </r>
    <r>
      <rPr>
        <rFont val="Arial"/>
        <color rgb="FF1155CC"/>
        <sz val="9.0"/>
        <u/>
      </rPr>
      <t>brownwoodtexas.gov</t>
    </r>
    <r>
      <rPr>
        <rFont val="Arial"/>
        <sz val="9.0"/>
      </rPr>
      <t xml:space="preserve"> (contact form)</t>
    </r>
  </si>
  <si>
    <t>May 2, 1937</t>
  </si>
  <si>
    <t>Dedication (unveiling)</t>
  </si>
  <si>
    <t>Mayor Ryan Lowe, City of Muskogee, OK (Feb 2026)</t>
  </si>
  <si>
    <t>Mayor Zohran Mamdani, City of New York (2026)</t>
  </si>
  <si>
    <t>(918) 682-6602; mayor@muskogeeonline.org</t>
  </si>
  <si>
    <r>
      <rPr>
        <rFont val="Arial"/>
        <sz val="9.0"/>
      </rPr>
      <t xml:space="preserve">311 / (212) 788-1400; </t>
    </r>
    <r>
      <rPr>
        <rFont val="Arial"/>
        <color rgb="FF1155CC"/>
        <sz val="9.0"/>
        <u/>
      </rPr>
      <t>nyc.gov/mayors-office/contact-the-mayor</t>
    </r>
  </si>
  <si>
    <t>Lakeland Florist, 821 Callahan St, Muskogee OK 74403, (918) 687-7574</t>
  </si>
  <si>
    <t>70</t>
  </si>
  <si>
    <t>Open-air theater overlooking Camp Gruber; rebuilt/rededicated July 10, 2002.</t>
  </si>
  <si>
    <t>07-13</t>
  </si>
  <si>
    <t>Flowers by Richard NYC, 316 W 53rd St, New York NY 10019 [verify phone]</t>
  </si>
  <si>
    <t>Davis Floral Company, 505 Fisk Ave, Brownwood TX 76801, (325) 646-9595</t>
  </si>
  <si>
    <t>5</t>
  </si>
  <si>
    <t>24</t>
  </si>
  <si>
    <t>Bronze by Waldine Tauch.</t>
  </si>
  <si>
    <t>9-ft bronze by Charles Keck before a Celtic cross.</t>
  </si>
  <si>
    <t>05-02</t>
  </si>
  <si>
    <t>10-18</t>
  </si>
  <si>
    <t>Wisconsin</t>
  </si>
  <si>
    <t>Milwaukee</t>
  </si>
  <si>
    <t>Tulsa</t>
  </si>
  <si>
    <t>MacArthur Square Park</t>
  </si>
  <si>
    <t>'Spirit of Rainbow' Painting</t>
  </si>
  <si>
    <t>Civic square</t>
  </si>
  <si>
    <t>Painting</t>
  </si>
  <si>
    <t>Father Duffy's Grave</t>
  </si>
  <si>
    <t>42nd Division; artist Theodore MacKechnie</t>
  </si>
  <si>
    <t>Grave</t>
  </si>
  <si>
    <t>VFW Post #577, 1109 East 8th St.</t>
  </si>
  <si>
    <t>September 17, 1945</t>
  </si>
  <si>
    <t>March 1944</t>
  </si>
  <si>
    <t>St. Raymond's Cemetery, Section 9</t>
  </si>
  <si>
    <t>Painting completed</t>
  </si>
  <si>
    <t>June 26, 1932</t>
  </si>
  <si>
    <t>Death date</t>
  </si>
  <si>
    <t>Square designated</t>
  </si>
  <si>
    <t>6</t>
  </si>
  <si>
    <t>71</t>
  </si>
  <si>
    <t>Duffy died June 26, 1932.</t>
  </si>
  <si>
    <t>4x8 ft painting; given to Tulsa RDVA chapter 1988.</t>
  </si>
  <si>
    <t>Honors MacArthur's Milwaukee ties.</t>
  </si>
  <si>
    <t>Virginia</t>
  </si>
  <si>
    <t>West Point</t>
  </si>
  <si>
    <t>Arlington</t>
  </si>
  <si>
    <t>General MacArthur's Statue</t>
  </si>
  <si>
    <t>Grave of William J. 'Wild Bill' Donovan (MOH)</t>
  </si>
  <si>
    <t>United States Military Academy, West Point</t>
  </si>
  <si>
    <t>Maj. Gen. William J. Donovan, 165th Infantry / OSS</t>
  </si>
  <si>
    <t>statewide</t>
  </si>
  <si>
    <t>September 11, 1969</t>
  </si>
  <si>
    <t>Arlington National Cemetery, Section 2, grave 4874-A</t>
  </si>
  <si>
    <t>Statue dedicated</t>
  </si>
  <si>
    <t>State Highway #51, Rainbow Memorial Highway</t>
  </si>
  <si>
    <t>October 14-15, 1918</t>
  </si>
  <si>
    <t>Superintendent, USMA West Point (U.S. Army) [verify - LTG Gilland retired ~6/2026]</t>
  </si>
  <si>
    <t>Highway</t>
  </si>
  <si>
    <t>Medal of Honor action (Meuse-Argonne)</t>
  </si>
  <si>
    <t>MediaRelations@westpoint.edu; (845) 938-4041</t>
  </si>
  <si>
    <t>42nd (Rainbow) Division</t>
  </si>
  <si>
    <t>Lily's of the Valley, 285 Main St, Highland Falls NY 10928, (845) 446-4446</t>
  </si>
  <si>
    <t>Arlington National Cemetery, U.S. Army (Supt. C.R. Alexander Jr. [verify]); fresh flowers allowed on graves</t>
  </si>
  <si>
    <t>Oklahoma Route 51</t>
  </si>
  <si>
    <r>
      <rPr>
        <rFont val="Arial"/>
        <sz val="9.0"/>
      </rPr>
      <t xml:space="preserve">1-877-907-8585; </t>
    </r>
    <r>
      <rPr>
        <rFont val="Arial"/>
        <color rgb="FF1155CC"/>
        <sz val="9.0"/>
        <u/>
      </rPr>
      <t>arlingtoncemetery.mil/contact</t>
    </r>
  </si>
  <si>
    <t>Walker Hancock bronze; MacArthur was Superintendent 1919-1922.</t>
  </si>
  <si>
    <t>Dedicated (Tulsa, 45th reunion)</t>
  </si>
  <si>
    <t>09-11</t>
  </si>
  <si>
    <t>85</t>
  </si>
  <si>
    <t>Arlington Cemetery Flowers by Twin Towers Florist, 1000 Wilson Blvd Ste M735, Arlington VA 22209, (703) 527-2131 (delivers into ANC)</t>
  </si>
  <si>
    <t>Conceived 1963 by Lawrence G. Wood; redesignated, unveiling Oct 2, 1999.</t>
  </si>
  <si>
    <t>22</t>
  </si>
  <si>
    <t>Headstone: Jan 1, 1883 - Feb 8, 1959. MOH for action near Landres-et-St. Georges.</t>
  </si>
  <si>
    <t>10-14</t>
  </si>
  <si>
    <t>California</t>
  </si>
  <si>
    <t>Los Angeles</t>
  </si>
  <si>
    <t>MacArthur Statue, MacArthur Park</t>
  </si>
  <si>
    <t>Statue / monument</t>
  </si>
  <si>
    <t>MacArthur Park (Westlake), Wilshire Blvd/Alvarado St.</t>
  </si>
  <si>
    <t>1955</t>
  </si>
  <si>
    <t>Monument created</t>
  </si>
  <si>
    <t>8</t>
  </si>
  <si>
    <t>By Roger Noble Burnham.</t>
  </si>
  <si>
    <t>Brigadier General Henning Linden Grave</t>
  </si>
  <si>
    <t>New Jersey</t>
  </si>
  <si>
    <t>New Brunswick / Milltown</t>
  </si>
  <si>
    <t>Brig. Gen. Henning Linden (Task Force Linden)</t>
  </si>
  <si>
    <t>Arlington National Cemetery</t>
  </si>
  <si>
    <t>Sept 3, 1892 or March 15, 1984</t>
  </si>
  <si>
    <t>Joyce Kilmer Home &amp; American Legion Post #25</t>
  </si>
  <si>
    <t>Home / Legion post</t>
  </si>
  <si>
    <t>Birth and death dates</t>
  </si>
  <si>
    <t>Sgt. Joyce Kilmer, 165th Infantry</t>
  </si>
  <si>
    <t>Arlington National Cemetery, U.S. Army (Exec. Dir., ANMC [verify])</t>
  </si>
  <si>
    <t>17 Joyce Kilmer Avenue (Post: 121 Northbrook Dr, Milltown)</t>
  </si>
  <si>
    <r>
      <rPr>
        <rFont val="Arial"/>
        <sz val="9.0"/>
      </rPr>
      <t xml:space="preserve">1-877-907-8585; </t>
    </r>
    <r>
      <rPr>
        <rFont val="Arial"/>
        <color rgb="FF1155CC"/>
        <sz val="9.0"/>
        <u/>
      </rPr>
      <t>arlingtoncemetery.mil/contact</t>
    </r>
  </si>
  <si>
    <t>May 8, 1929</t>
  </si>
  <si>
    <t>Post maintenance began</t>
  </si>
  <si>
    <t>Norfolk</t>
  </si>
  <si>
    <t>General MacArthur's Memorial &amp; Tomb</t>
  </si>
  <si>
    <t>Memorial / tomb</t>
  </si>
  <si>
    <t>29</t>
  </si>
  <si>
    <t>MacArthur Square (former City Hall)</t>
  </si>
  <si>
    <t>1780 Dutch farmhouse; poet born December 1886.</t>
  </si>
  <si>
    <t>April 5, 1964</t>
  </si>
  <si>
    <t>Arlington Cemetery Flowers by Twin Towers Florist, 1000 Wilson Blvd Ste M735, Arlington VA 22209, (703) 527-2131</t>
  </si>
  <si>
    <t>MacArthur's death / interment</t>
  </si>
  <si>
    <t>Mayor Kenny Alexander, City of Norfolk, VA (operates MacArthur Memorial)</t>
  </si>
  <si>
    <t>72</t>
  </si>
  <si>
    <r>
      <rPr>
        <rFont val="Arial"/>
        <sz val="9.0"/>
      </rPr>
      <t xml:space="preserve">(757) 664-4679; </t>
    </r>
    <r>
      <rPr>
        <rFont val="Arial"/>
        <color rgb="FF1155CC"/>
        <sz val="9.0"/>
        <u/>
      </rPr>
      <t>norfolk.gov/3515</t>
    </r>
    <r>
      <rPr>
        <rFont val="Arial"/>
        <sz val="9.0"/>
      </rPr>
      <t xml:space="preserve"> (Email Mayor link)</t>
    </r>
  </si>
  <si>
    <t>Assistant Division Commander; led Task Force Linden; at Dachau liberation Apr 29, 1945.</t>
  </si>
  <si>
    <t>03-15</t>
  </si>
  <si>
    <t>Norfolk Wholesale Floral, 601 E Brambleton Ave, Norfolk VA, (757) 625-0901</t>
  </si>
  <si>
    <t>9</t>
  </si>
  <si>
    <t>MacArthur Memorial museum and tomb; replica statue erected 1970; Foundation est. 1962.</t>
  </si>
  <si>
    <t>04-05</t>
  </si>
  <si>
    <t>New Brunswick</t>
  </si>
  <si>
    <t>Joyce Kilmer Cenotaph</t>
  </si>
  <si>
    <t>Cenotaph</t>
  </si>
  <si>
    <t>San Bruno</t>
  </si>
  <si>
    <t>Sgt. Joyce Kilmer</t>
  </si>
  <si>
    <t>MOH M/Sgt Vito R. Bertoldo Grave</t>
  </si>
  <si>
    <t>Elmwood Cemetery</t>
  </si>
  <si>
    <t>Grave / MOH</t>
  </si>
  <si>
    <t>July 30, 1918</t>
  </si>
  <si>
    <t>M/Sgt Vito R. Bertoldo, 242nd Infantry</t>
  </si>
  <si>
    <t>Killed in action (Ourcq)</t>
  </si>
  <si>
    <t>Golden Gate National Cemetery, San Bruno</t>
  </si>
  <si>
    <t xml:space="preserve">January 9-10, 1945 or Veterans Day </t>
  </si>
  <si>
    <t>Michigan</t>
  </si>
  <si>
    <t>Detroit</t>
  </si>
  <si>
    <t>Medal of Honor action (Hatten)</t>
  </si>
  <si>
    <t>Michigan Chapter Plaque</t>
  </si>
  <si>
    <t>28</t>
  </si>
  <si>
    <t>Plaque</t>
  </si>
  <si>
    <t>Michigan State Chapter, RDVA</t>
  </si>
  <si>
    <t>Kilmer is buried at Oise-Aisne, France; this is a memorial cenotaph.</t>
  </si>
  <si>
    <t>Historic Fort Wayne</t>
  </si>
  <si>
    <t>May 25, 1980</t>
  </si>
  <si>
    <t>75</t>
  </si>
  <si>
    <t>Only Rainbow soldier to earn the MOH in WWII (1916-1966). Book p.75 says 'San Bruno National Cemetery'; pp.76-77 correct to Golden Gate National Cemetery.</t>
  </si>
  <si>
    <t>86</t>
  </si>
  <si>
    <t>National Association organized at Bad Neuenahr, Germany, April 14, 1919.</t>
  </si>
  <si>
    <t>North Carolina</t>
  </si>
  <si>
    <t>Robbinsville</t>
  </si>
  <si>
    <t>Joyce Kilmer Memorial Forest &amp; Plaque</t>
  </si>
  <si>
    <t>Memorial forest</t>
  </si>
  <si>
    <t>San Jose</t>
  </si>
  <si>
    <t>San Jose Mayoral Commendation to M/Sgt Bertoldo</t>
  </si>
  <si>
    <t>Nantahala National Forest, 15 mi NE of Robbinsville</t>
  </si>
  <si>
    <t>Charlotte</t>
  </si>
  <si>
    <t>July 30, 1936</t>
  </si>
  <si>
    <t>Rainbow Plaque, Monument of Valor</t>
  </si>
  <si>
    <t>Commendation</t>
  </si>
  <si>
    <t>M/Sgt Vito R. Bertoldo</t>
  </si>
  <si>
    <t>Marshall Park, South McDowell St.</t>
  </si>
  <si>
    <t>July 1999</t>
  </si>
  <si>
    <t>January 9-10, 1945</t>
  </si>
  <si>
    <t>Formal dedication</t>
  </si>
  <si>
    <t>31</t>
  </si>
  <si>
    <t>Hatten memorial commemoration</t>
  </si>
  <si>
    <t>3,800-acre old-growth memorial forest; plaque dated July 30, 1936; 50th-anniv. plaque July 30, 1986.</t>
  </si>
  <si>
    <t>87</t>
  </si>
  <si>
    <t>76</t>
  </si>
  <si>
    <t>Dedicated Fall 1998; formal dedication July 1999.</t>
  </si>
  <si>
    <t>Commendation by Mayor Tom McEnery.</t>
  </si>
  <si>
    <t>Pennsylvania</t>
  </si>
  <si>
    <t>Pittsburgh</t>
  </si>
  <si>
    <t>Joyce Kilmer Memorial Grove</t>
  </si>
  <si>
    <t>Reading</t>
  </si>
  <si>
    <t>Memorial grove</t>
  </si>
  <si>
    <t>Reading Plaque</t>
  </si>
  <si>
    <t>Reading Chapter, RDVA</t>
  </si>
  <si>
    <t>South Park, Allegheny County</t>
  </si>
  <si>
    <t>Forest Hills Memorial Park</t>
  </si>
  <si>
    <t>August 26, 1934</t>
  </si>
  <si>
    <t>Bernard Sasser Playground and Plaque</t>
  </si>
  <si>
    <t>1981</t>
  </si>
  <si>
    <t>Playground / plaque</t>
  </si>
  <si>
    <t>Plaque placed</t>
  </si>
  <si>
    <t>Pfc. Bernard D. Sasser, G/222nd Infantry</t>
  </si>
  <si>
    <t>Moross Road-Harper area</t>
  </si>
  <si>
    <t>February 27, 1945</t>
  </si>
  <si>
    <t>Killed in action (near Wingen-sur-Moder)</t>
  </si>
  <si>
    <t>32</t>
  </si>
  <si>
    <t>Bronze shaft with portrait ringed by sixteen elms.</t>
  </si>
  <si>
    <t>78</t>
  </si>
  <si>
    <t>Posthumous Silver Star; playground dedicated Aug 16, 1962.</t>
  </si>
  <si>
    <t>Missouri</t>
  </si>
  <si>
    <t>Kansas City</t>
  </si>
  <si>
    <t>Ceramic Vessels and Plaque</t>
  </si>
  <si>
    <t>Vessels / plaque</t>
  </si>
  <si>
    <t>Massachusetts</t>
  </si>
  <si>
    <t>Rockhurst College</t>
  </si>
  <si>
    <t>Roslindale / Boston</t>
  </si>
  <si>
    <t>July 14, 1980</t>
  </si>
  <si>
    <t>Joyce Kilmer Park and Memorial</t>
  </si>
  <si>
    <t>Plaque affixed</t>
  </si>
  <si>
    <t>88</t>
  </si>
  <si>
    <t>Ceramic altar vessels gift.</t>
  </si>
  <si>
    <t>Ohio</t>
  </si>
  <si>
    <t>Dayton</t>
  </si>
  <si>
    <t>Wright-Patterson Air Force Museum (Nazi flag)</t>
  </si>
  <si>
    <t>Museum artifact</t>
  </si>
  <si>
    <t>Park / memorial</t>
  </si>
  <si>
    <t>Maj. Gen. Harry J. Collins / 42nd Division</t>
  </si>
  <si>
    <t>National Museum of the USAF, Wright-Patterson AFB</t>
  </si>
  <si>
    <t>Roslindale, Boston</t>
  </si>
  <si>
    <t>May 30, 1965</t>
  </si>
  <si>
    <t>Mayor Michelle Wu, City of Boston</t>
  </si>
  <si>
    <t>(617) 635-4500; michelle.wu@boston.gov</t>
  </si>
  <si>
    <t>80</t>
  </si>
  <si>
    <t>Walk Hill Florist, 337 Walk Hill St, Roslindale MA 02131, (617) 522-1293</t>
  </si>
  <si>
    <t>Captured Nazi flag awarded to the 8th Air Force by Maj. Gen. Collins.</t>
  </si>
  <si>
    <t>33</t>
  </si>
  <si>
    <t>Memorial Park dedicated Sept 1936; Kilmer memorial May 30, 1965.</t>
  </si>
  <si>
    <t>05-30</t>
  </si>
  <si>
    <t>Illinois</t>
  </si>
  <si>
    <t>Chicago</t>
  </si>
  <si>
    <t>Illinois Rainbow Division Monument</t>
  </si>
  <si>
    <t>Rainbow Park, 77th St. &amp; S. Shore Drive</t>
  </si>
  <si>
    <t>Veterans Day</t>
  </si>
  <si>
    <t>Dedication (Golden Anniversary)</t>
  </si>
  <si>
    <t>Mayor Brandon Johnson, City of Chicago</t>
  </si>
  <si>
    <t>Boston</t>
  </si>
  <si>
    <r>
      <rPr>
        <rFont val="Arial"/>
        <sz val="9.0"/>
      </rPr>
      <t xml:space="preserve">311; </t>
    </r>
    <r>
      <rPr>
        <rFont val="Arial"/>
        <color rgb="FF1155CC"/>
        <sz val="9.0"/>
        <u/>
      </rPr>
      <t>chicago.gov/city/en/depts/mayor</t>
    </r>
    <r>
      <rPr>
        <rFont val="Arial"/>
        <sz val="9.0"/>
      </rPr>
      <t xml:space="preserve"> (contact form)</t>
    </r>
  </si>
  <si>
    <t>Joyce Kilmer American Legion Post #316</t>
  </si>
  <si>
    <t>Legion post</t>
  </si>
  <si>
    <t>Sandelas Flower Shop, South Side Chicago, (773) 721-7672 [verify address]</t>
  </si>
  <si>
    <t>$5,000 granite monument; plate stolen 1975, re-engraved 1978, rededicated May 29, 1999.</t>
  </si>
  <si>
    <t>06-18</t>
  </si>
  <si>
    <t>Europe</t>
  </si>
  <si>
    <t>France</t>
  </si>
  <si>
    <t>Bas-Rhin (Alsace)</t>
  </si>
  <si>
    <t>Kilstett</t>
  </si>
  <si>
    <t>Kilstett Plaque, Maginot Line Bunker</t>
  </si>
  <si>
    <t>West Roxbury</t>
  </si>
  <si>
    <t>Task Force Linden; 7th Army</t>
  </si>
  <si>
    <t>Joyce Kilmer School</t>
  </si>
  <si>
    <t>Maginot Line bunker/pillbox, Kilstett</t>
  </si>
  <si>
    <t>School</t>
  </si>
  <si>
    <t>June 1935</t>
  </si>
  <si>
    <t>Dedication (50th Anniversary Year)</t>
  </si>
  <si>
    <t>Maire Olivier Meyer, Kilstett, Bas-Rhin, France (2026)</t>
  </si>
  <si>
    <t>03 88 96 21 09; mairie@kilstett.fr</t>
  </si>
  <si>
    <t>Il était une fois, 3 rue du Général de Gaulle, 67610 La Wantzenau [verify phone]</t>
  </si>
  <si>
    <t>73</t>
  </si>
  <si>
    <t>50th-anniversary plaque 1985.</t>
  </si>
  <si>
    <t>Honors soldiers who fell during Operation Nordwind, January 1945.</t>
  </si>
  <si>
    <t>Valley Forge</t>
  </si>
  <si>
    <t>Medal of Honor Grove &amp; 42nd Auxiliary Monument / MOH Plaque</t>
  </si>
  <si>
    <t>42nd Division MOH recipients</t>
  </si>
  <si>
    <t>Freedoms Foundation, Valley Forge</t>
  </si>
  <si>
    <t>October 10, 1999</t>
  </si>
  <si>
    <t>Auxiliary monument dedication</t>
  </si>
  <si>
    <t>Freedoms Foundation at Valley Forge / Founding Forward (Schuylkill Twp, Chester Co PA) [CEO verify]</t>
  </si>
  <si>
    <t>(610) 933-8825; info@foundingforward.org</t>
  </si>
  <si>
    <t>Leary's Flowers, 407 Gay St, Phoenixville PA 19460, (610) 935-1573</t>
  </si>
  <si>
    <t>Hatten</t>
  </si>
  <si>
    <t>The 242nd Infantry Bench (Hatten-Rittershoffen)</t>
  </si>
  <si>
    <t>Bench / monument</t>
  </si>
  <si>
    <t>52-acre grove; Auxiliary monument and MOH plaque dedicated Oct 10, 1999.</t>
  </si>
  <si>
    <t>242nd Infantry; Battle of Hatten-Rittershoffen</t>
  </si>
  <si>
    <t>10-10</t>
  </si>
  <si>
    <t>between Hatten and Rittershoffen</t>
  </si>
  <si>
    <t>January</t>
  </si>
  <si>
    <t>Bench dedicated</t>
  </si>
  <si>
    <t>Maire Benjamin Rapp, Hatten, Bas-Rhin, France (2026)</t>
  </si>
  <si>
    <t>03 88 80 00 26; mairie@hatten-alsace.com</t>
  </si>
  <si>
    <t>Myl'Fleurs, 160A route de Hatten, 67690 Rittershoffen, +33 3 88 05 04 39</t>
  </si>
  <si>
    <t>77</t>
  </si>
  <si>
    <t>Beside the sandstone tank monument (dedicated 1985); 'In Memory of our fallen Comrades and Civilian dead.'</t>
  </si>
  <si>
    <t>01-09</t>
  </si>
  <si>
    <t>France (action)</t>
  </si>
  <si>
    <t>near Ourcq / Landres</t>
  </si>
  <si>
    <t>MOH Sgt. Michael A. Donaldson (citation at MOH Grove)</t>
  </si>
  <si>
    <t>Medal of Honor</t>
  </si>
  <si>
    <t>Sgt. Michael A. Donaldson, 165th Infantry</t>
  </si>
  <si>
    <t>Honored at Medal of Honor Grove, Valley Forge, PA</t>
  </si>
  <si>
    <t>October 14, 1918</t>
  </si>
  <si>
    <t>Wingen-sur-Moder</t>
  </si>
  <si>
    <t>Medal of Honor action</t>
  </si>
  <si>
    <t>Artillery Chapter Plaque</t>
  </si>
  <si>
    <t>42nd Division Artillery battalions</t>
  </si>
  <si>
    <t>City Hall / Hotel Wenk, Wingen-sur-Moder</t>
  </si>
  <si>
    <t>Second plaque dedicated</t>
  </si>
  <si>
    <t>34</t>
  </si>
  <si>
    <t>Maire Christian Dorschner, Wingen-sur-Moder, Bas-Rhin, France (2026)</t>
  </si>
  <si>
    <t>03 88 89 71 27; mairie@wingensurmoder.fr</t>
  </si>
  <si>
    <t>MOH action Oct 14, 1918; Donaldson died 1970.</t>
  </si>
  <si>
    <t>Fleurs Bernhard (Interflora), 13C route de Rothbach, 67340 Ingwiller</t>
  </si>
  <si>
    <t>79</t>
  </si>
  <si>
    <t>First plaque made official RDVA memorial 1991; commemorates artillery rejoining the infantry.</t>
  </si>
  <si>
    <t>Germany</t>
  </si>
  <si>
    <t>Bavaria</t>
  </si>
  <si>
    <t>Dachau</t>
  </si>
  <si>
    <t>Dachau Memorial Plaque</t>
  </si>
  <si>
    <t>Ourcq River</t>
  </si>
  <si>
    <t>42nd Division &amp; 7th Army liberators; camp victims</t>
  </si>
  <si>
    <t>MOH Sgt. Richard W. O'Neil (citation at MOH Grove)</t>
  </si>
  <si>
    <t>Dachau Concentration Camp (Jourhaus wall)</t>
  </si>
  <si>
    <t>Sgt. Richard W. O'Neil, 165th Infantry</t>
  </si>
  <si>
    <t>OB Florian Hartmann, Stadt Dachau, Bavaria (2026)</t>
  </si>
  <si>
    <t>08131 75-0; stadt@dachau.de</t>
  </si>
  <si>
    <t>Blumenfenster, Münchner Str. 16, 85221 Dachau, +49 8131 736196</t>
  </si>
  <si>
    <t>Trilingual plaque; camp liberated April 29, 1945.</t>
  </si>
  <si>
    <t>04-29</t>
  </si>
  <si>
    <t>MOH action July 30, 1918 at the Ourcq.</t>
  </si>
  <si>
    <t>Rhineland-Palatinate</t>
  </si>
  <si>
    <t>Dahn</t>
  </si>
  <si>
    <t>Regenbogenstrasse (Rainbow Street) - it is now Schulstraße, as of 1951</t>
  </si>
  <si>
    <t>Street</t>
  </si>
  <si>
    <t>Main Street of Dahn, Palatinate</t>
  </si>
  <si>
    <t>March 23, 1945</t>
  </si>
  <si>
    <t>Dahn taken by the Division</t>
  </si>
  <si>
    <t>Berkshire</t>
  </si>
  <si>
    <t>Monument and Grave of Colonel Benson W. Hough</t>
  </si>
  <si>
    <t>Grave / monument</t>
  </si>
  <si>
    <t>Col. Benson W. Hough, 166th Infantry</t>
  </si>
  <si>
    <t>Berkshire Cemetery</t>
  </si>
  <si>
    <t>Named 'Rainbow Street' after the 42nd; name reportedly since changed - verify current name.</t>
  </si>
  <si>
    <t>1875 - 1935</t>
  </si>
  <si>
    <t>Life dates (first RDVA president)</t>
  </si>
  <si>
    <t>Berkshire Township Trustees, Delaware Co OH [verify current]</t>
  </si>
  <si>
    <r>
      <rPr>
        <rFont val="Arial"/>
        <sz val="9.0"/>
      </rPr>
      <t xml:space="preserve">(740) 965-2992; </t>
    </r>
    <r>
      <rPr>
        <rFont val="Arial"/>
        <color rgb="FF1155CC"/>
        <sz val="9.0"/>
        <u/>
      </rPr>
      <t>berkshiretwp.org</t>
    </r>
    <r>
      <rPr>
        <rFont val="Arial"/>
        <sz val="9.0"/>
      </rPr>
      <t xml:space="preserve"> [email not verified]</t>
    </r>
  </si>
  <si>
    <t>Sunbury Florist (Molly's Flowers &amp; More), 14 E Cherry St, Sunbury OH 43074, (740) 965-9964</t>
  </si>
  <si>
    <t>35</t>
  </si>
  <si>
    <t>Commander of the 166th Infantry; first RDVA president (1919).</t>
  </si>
  <si>
    <t>Austria</t>
  </si>
  <si>
    <t>Salzburg</t>
  </si>
  <si>
    <t>Zell-am-See</t>
  </si>
  <si>
    <t>Grand Hotel (Rainbow University 1945-46)</t>
  </si>
  <si>
    <t>Building</t>
  </si>
  <si>
    <t>42nd Division Army of Occupation</t>
  </si>
  <si>
    <t>1945-1946</t>
  </si>
  <si>
    <t>Rainbow University operated</t>
  </si>
  <si>
    <t>Marysville</t>
  </si>
  <si>
    <t>81</t>
  </si>
  <si>
    <t>Company E, 166th Infantry Monument</t>
  </si>
  <si>
    <t>Halls named for fallen/decorated soldiers.</t>
  </si>
  <si>
    <t>Company E, 166th Infantry</t>
  </si>
  <si>
    <t>Marysville Cemetery</t>
  </si>
  <si>
    <t>37</t>
  </si>
  <si>
    <t>Ralph Berger Chapter monument; plaque dates service July 15, 1917 - May 16, 1919.</t>
  </si>
  <si>
    <t>Tyrol</t>
  </si>
  <si>
    <t>Kitzbuehel</t>
  </si>
  <si>
    <t>Rainbow Stained Glass Window</t>
  </si>
  <si>
    <t>Stained-glass window</t>
  </si>
  <si>
    <t>St. Catherine's Catholic Church, Kitzbuehel</t>
  </si>
  <si>
    <t>Lancaster</t>
  </si>
  <si>
    <t>83</t>
  </si>
  <si>
    <t>Company L, 166th Infantry Memorial</t>
  </si>
  <si>
    <t>Circular window 'In Memory of the 42nd Division.'</t>
  </si>
  <si>
    <t>Memorial plot</t>
  </si>
  <si>
    <t>Company L, 166th Infantry</t>
  </si>
  <si>
    <t>Forest Rose Cemetery</t>
  </si>
  <si>
    <t>1934</t>
  </si>
  <si>
    <t>Dedication (plot)</t>
  </si>
  <si>
    <t>Plot dedicated 1934; larger monument (184 names) added 1975.</t>
  </si>
  <si>
    <t>Grave of Major General Harry J. Collins</t>
  </si>
  <si>
    <t>Maj. Gen. Harry J. Collins (WWII Division commander)</t>
  </si>
  <si>
    <t>Abbey of St. Peter's Cemetery</t>
  </si>
  <si>
    <t>March 8, 1963</t>
  </si>
  <si>
    <t>Bürgermeister Bernhard Auinger, Stadt Salzburg, Austria</t>
  </si>
  <si>
    <t>+43 662 8072-0; post@stadt-salzburg.at</t>
  </si>
  <si>
    <t>Greenfield</t>
  </si>
  <si>
    <t>Blumen Neuhauser, Imbergstraße 33a, 5020 Salzburg, +43 662 640490</t>
  </si>
  <si>
    <t>84</t>
  </si>
  <si>
    <t>Veterans of Company G, 166th Infantry Memorial</t>
  </si>
  <si>
    <t>Collins born Dec 7, 1895; grave maintained until 2062.</t>
  </si>
  <si>
    <t>03-08</t>
  </si>
  <si>
    <t>Company G, 166th Infantry</t>
  </si>
  <si>
    <t>August 14, 1960</t>
  </si>
  <si>
    <t>Dedication (granite memorial)</t>
  </si>
  <si>
    <t>38</t>
  </si>
  <si>
    <t>Honor Roll originally unveiled Nov 10, 1918; granite memorial Aug 14, 1960.</t>
  </si>
  <si>
    <t>Strasbourg</t>
  </si>
  <si>
    <t>Strasbourg Cathedral Memorial Inscription</t>
  </si>
  <si>
    <t>42nd Division Flower Fulfillment Log</t>
  </si>
  <si>
    <t>Inscription</t>
  </si>
  <si>
    <t>American soldiers who freed Alsace - not specifically Rainbow</t>
  </si>
  <si>
    <t>Pillar inside Strasbourg Cathedral</t>
  </si>
  <si>
    <t>Commemorated period</t>
  </si>
  <si>
    <t>89</t>
  </si>
  <si>
    <t>Bilingual French/English inscription.</t>
  </si>
  <si>
    <t>Grave of Leland L. Whitney</t>
  </si>
  <si>
    <t>Leland L. Whitney, Co. D, 166th Infantry</t>
  </si>
  <si>
    <t>Jan 30, 1896 - May 10, 1962</t>
  </si>
  <si>
    <t>Life dates</t>
  </si>
  <si>
    <t>39</t>
  </si>
  <si>
    <t>18th RDVA president (1936).</t>
  </si>
  <si>
    <t>Belgium</t>
  </si>
  <si>
    <t>Liege</t>
  </si>
  <si>
    <t>Henri-Chapelle</t>
  </si>
  <si>
    <t>Henri-Chapelle American Cemetery</t>
  </si>
  <si>
    <t>Cemetery</t>
  </si>
  <si>
    <t>Rainbow Division WWII dead (1)</t>
  </si>
  <si>
    <t>ABMC - Henri-Chapelle American Cemetery, Hombourg, Belgium</t>
  </si>
  <si>
    <t>+32 87 68 71 73; email via publicaffairs@abmc.gov</t>
  </si>
  <si>
    <t>ABMC: order via florist, deliver to cemetery w/ Plot/Row/Grave; staff place &amp; photo on request. Florist: Flori Anne, Henri-Chapelle</t>
  </si>
  <si>
    <t>Fort Myer</t>
  </si>
  <si>
    <t>Wilber M. Brucker Hall</t>
  </si>
  <si>
    <t>Veterans Day or Memorial Day</t>
  </si>
  <si>
    <t>Wilber M. Brucker (166th Infantry; Sec. of the Army)</t>
  </si>
  <si>
    <t>April 1978</t>
  </si>
  <si>
    <t>U.S. Army, Joint Base Myer–Henderson Hall (garrison cmdr [verify])</t>
  </si>
  <si>
    <r>
      <rPr>
        <rFont val="Arial"/>
        <sz val="9.0"/>
      </rPr>
      <t xml:space="preserve">usarmy.jbmhh.asa.list.pao-all@army.mil; </t>
    </r>
    <r>
      <rPr>
        <rFont val="Arial"/>
        <color rgb="FF1155CC"/>
        <sz val="9.0"/>
        <u/>
      </rPr>
      <t>home.army.mil/jbmhh</t>
    </r>
  </si>
  <si>
    <t>Date Sent</t>
  </si>
  <si>
    <t>Site / Memorial</t>
  </si>
  <si>
    <t>Neuville-en-Condroz</t>
  </si>
  <si>
    <t>Occasion</t>
  </si>
  <si>
    <t>Ardennes American Cemetery</t>
  </si>
  <si>
    <t>Ordered</t>
  </si>
  <si>
    <t>Florist Used</t>
  </si>
  <si>
    <t>Rainbow Division WWII dead (6)</t>
  </si>
  <si>
    <t>Cost</t>
  </si>
  <si>
    <t>Neuville-en-Condroz (Liege)</t>
  </si>
  <si>
    <t>Confirmation / Photo</t>
  </si>
  <si>
    <t>Notes</t>
  </si>
  <si>
    <t>ABMC - Ardennes American Cemetery, Neupré, Belgium</t>
  </si>
  <si>
    <t>phone/email via publicaffairs@abmc.gov [verify]</t>
  </si>
  <si>
    <t>ABMC: order via florist to cemetery w/ Plot/Row/Grave; staff place &amp; photo. Florist: Orkhis or Le Panier Fleuri</t>
  </si>
  <si>
    <t>Grave of Wilber M. Brucker</t>
  </si>
  <si>
    <t/>
  </si>
  <si>
    <t>Wilber M. Brucker</t>
  </si>
  <si>
    <t>June 23, 1894 - December 28, 1968</t>
  </si>
  <si>
    <t>Vosges</t>
  </si>
  <si>
    <t>Dinoze (Epinal)</t>
  </si>
  <si>
    <t>Epinal American Cemetery</t>
  </si>
  <si>
    <t>Rainbow Division WWII dead (89)</t>
  </si>
  <si>
    <t>Epinal</t>
  </si>
  <si>
    <t>ABMC - Epinal American Cemetery, Dinozé, France</t>
  </si>
  <si>
    <t>+33 3 29 82 04 75; epinal@abmc.gov</t>
  </si>
  <si>
    <t>ABMC: order via florist to cemetery w/ Plot/Row/Grave; staff place &amp; photo. Florist: La Comédie des Fleurs, Epinal, +33 3 29 64 36 43</t>
  </si>
  <si>
    <t>Permanent cemetery dedicated July 1956.</t>
  </si>
  <si>
    <t>statewide (Cleveland-Cincinnati)</t>
  </si>
  <si>
    <t>State Highway #42 'Rainbow Highway'</t>
  </si>
  <si>
    <t>US Route 42, Cleveland to Cincinnati</t>
  </si>
  <si>
    <t>May 25, 1947</t>
  </si>
  <si>
    <t>Moselle</t>
  </si>
  <si>
    <t>Saint-Avold</t>
  </si>
  <si>
    <t>40</t>
  </si>
  <si>
    <t>Lorraine American Cemetery</t>
  </si>
  <si>
    <t>Rainbow Division WWII dead (181)</t>
  </si>
  <si>
    <t>St. Avold</t>
  </si>
  <si>
    <t>ABMC - Lorraine American Cemetery, Saint-Avold, France</t>
  </si>
  <si>
    <t>+33 3 87 92 07 32; lorraine@abmc.gov</t>
  </si>
  <si>
    <t>ABMC: order via florist to cemetery w/ Plot/Row/Grave; staff place &amp; photo. Florist: Joli Bois, St-Avold</t>
  </si>
  <si>
    <t>Largest Rainbow WWII burial site.</t>
  </si>
  <si>
    <t>Oshkosh</t>
  </si>
  <si>
    <t>Rainbow Memorial Park</t>
  </si>
  <si>
    <t>Park / plaque</t>
  </si>
  <si>
    <t>149th &amp; 150th Machine Gun Battalions</t>
  </si>
  <si>
    <t>June 2, 1990</t>
  </si>
  <si>
    <t>Rededication</t>
  </si>
  <si>
    <t>Var</t>
  </si>
  <si>
    <t>Draguignan</t>
  </si>
  <si>
    <t>Rhone American Cemetery</t>
  </si>
  <si>
    <t>Land to city 1937; original plaque 1957; rededicated June 2, 1990.</t>
  </si>
  <si>
    <t>ABMC - Rhone American Cemetery, Draguignan, France</t>
  </si>
  <si>
    <t>+33 4 94 68 03 62; rhone@abmc.gov</t>
  </si>
  <si>
    <t>ABMC: order via florist to cemetery w/ Plot/Row/Grave; staff place &amp; photo. Florist: Le Jardin des Fleurs, Draguignan, +33 9 70 24 11 24</t>
  </si>
  <si>
    <t>Incl. Albert J. Kitz (HQ), died June 24, 1945.</t>
  </si>
  <si>
    <t>Easton</t>
  </si>
  <si>
    <t>American Legion Rice-Ebner Post #588</t>
  </si>
  <si>
    <t>Legion post / plaques</t>
  </si>
  <si>
    <t>Company A, 149th Machine Gun Battalion</t>
  </si>
  <si>
    <t>Luxembourg</t>
  </si>
  <si>
    <t>423 Davis St.</t>
  </si>
  <si>
    <t>Luxembourg City (Hamm)</t>
  </si>
  <si>
    <t>Luxembourg American Cemetery</t>
  </si>
  <si>
    <t>42</t>
  </si>
  <si>
    <t>Named for D.K. Rice (d. Aug 1, 1918) and R.R. Ebner (d. of wounds July 29, 1918).</t>
  </si>
  <si>
    <t>ABMC - Luxembourg American Cemetery, Hamm</t>
  </si>
  <si>
    <t>+352 43 17 27; luxembourg@abmc.gov</t>
  </si>
  <si>
    <t>ABMC: order via florist to cemetery w/ Plot/Row/Grave; staff place &amp; photo. Florist: Fleurs François Klop, +352 22 33 31</t>
  </si>
  <si>
    <t>Netherlands</t>
  </si>
  <si>
    <t>Limburg</t>
  </si>
  <si>
    <t>Margraten</t>
  </si>
  <si>
    <t>Netherlands American Cemetery</t>
  </si>
  <si>
    <t>Bethlehem</t>
  </si>
  <si>
    <t>Corporal Floyd J. Simons Armory</t>
  </si>
  <si>
    <t>Armory / tablet</t>
  </si>
  <si>
    <t>Margraten / Maastricht</t>
  </si>
  <si>
    <t>Cpl. Floyd J. Simons; Company B, 149th MG Bn</t>
  </si>
  <si>
    <t>301 Prospect Ave.</t>
  </si>
  <si>
    <t>ABMC - Netherlands American Cemetery, Margraten</t>
  </si>
  <si>
    <t>1930</t>
  </si>
  <si>
    <t>+31 43 45 81 208; Netherlands@abmc.gov</t>
  </si>
  <si>
    <t>Erected (A.D. 1930)</t>
  </si>
  <si>
    <t>ABMC: order via florist to cemetery w/ Plot/Row/Grave; staff place &amp; photo. Florist: Anemoontje, Margraten, +31 43 458 9199</t>
  </si>
  <si>
    <t>43</t>
  </si>
  <si>
    <t>Simons was first Bethlehem soldier killed in WWI.</t>
  </si>
  <si>
    <t>Rittershoffen</t>
  </si>
  <si>
    <t>Rittershoffen Memorial (toward Betschdorf)</t>
  </si>
  <si>
    <t>Memorial</t>
  </si>
  <si>
    <t>242nd Infantry Regiment</t>
  </si>
  <si>
    <t>Just outside Rittershoffen toward Betschdorf, end of Rue de Betschdorf</t>
  </si>
  <si>
    <t>Battle of Rittershoffen</t>
  </si>
  <si>
    <t>Rittershoffen Town Hall; Mayor Philippe Jung</t>
  </si>
  <si>
    <t>03 88 80 00 31; contact@rittershoffen.fr</t>
  </si>
  <si>
    <t>Alabama</t>
  </si>
  <si>
    <t>Montgomery</t>
  </si>
  <si>
    <t>Rainbow Archives</t>
  </si>
  <si>
    <t>Coordinates in the report. Contact is the Rittershoffen town hall. Reported by Damien Bauer (naglo67@hotmail.fr).</t>
  </si>
  <si>
    <t>Archive / exhibit</t>
  </si>
  <si>
    <t>167th Infantry (4th Alabama)</t>
  </si>
  <si>
    <t>Dept. of Archives &amp; History, 624 Washington Ave.</t>
  </si>
  <si>
    <t>45</t>
  </si>
  <si>
    <t>State military gallery Rainbow display.</t>
  </si>
  <si>
    <t>Site (in process)</t>
  </si>
  <si>
    <t>Neubourg (Dauendorf)</t>
  </si>
  <si>
    <t>Neubourg Memorial (behind the church), planned</t>
  </si>
  <si>
    <t>Memorial (planned)</t>
  </si>
  <si>
    <t>42nd Infantry Division</t>
  </si>
  <si>
    <t>Behind the church in Neubourg</t>
  </si>
  <si>
    <t>Ohlungen Forest trail (in progress)</t>
  </si>
  <si>
    <t>Mairie de Dauendorf (Neubourg); Mayor Claude Bébon; local historian Materne Schaerlinger</t>
  </si>
  <si>
    <t>03 88 07 71 36; mairie.dauendorf@wanadoo.fr</t>
  </si>
  <si>
    <t>Planned; part of the Ohlungen Forest historical trail (final stages, 2026). Mairie de Dauendorf, 20 rue principale, 67350 Dauendorf. Reported by Damien Bauer (naglo67@hotmail.fr).</t>
  </si>
  <si>
    <t>Flomaton</t>
  </si>
  <si>
    <t>MOH Cpl. Sidney E. Manning Monument</t>
  </si>
  <si>
    <t>Monument / MOH</t>
  </si>
  <si>
    <t>Cpl. Sidney E. Manning, 167th Infantry</t>
  </si>
  <si>
    <t>Flomaton Lions Park (also Marion Military Institute Hall of Honor)</t>
  </si>
  <si>
    <t>July 28, 1918</t>
  </si>
  <si>
    <t>Uhlwiller</t>
  </si>
  <si>
    <t>Medal of Honor action (near Breuvannes)</t>
  </si>
  <si>
    <t>Uhlwiller Forest-Edge Memorial, planned</t>
  </si>
  <si>
    <t>8 soldiers, 222nd Infantry Regiment (KIA Jan 25, 1945)</t>
  </si>
  <si>
    <t>At the edge of the forest near Uhlwiller</t>
  </si>
  <si>
    <t>Mairie de Uhlwiller; Mayor Thomas Kleffer</t>
  </si>
  <si>
    <t>03 88 07 72 40</t>
  </si>
  <si>
    <t>44/46</t>
  </si>
  <si>
    <t>Planned; marks where 8 men of the 222nd Infantry fell on Jan 25, 1945. Part of the Ohlungen Forest trail. Mairie de Uhlwiller, 118 rue de l'Eglise, 67350 Uhlwiller. Reported by Damien Bauer (naglo67@hotmail.fr).</t>
  </si>
  <si>
    <t>'One of Pershing's immortal ten'; Manning died Dec 15, 1960 (body text); gravestone dates OCR-garbled - verify.</t>
  </si>
  <si>
    <t>Ohlungen</t>
  </si>
  <si>
    <t>Ohlungen Forest Historical Trail (12 panels + 2 memorials)</t>
  </si>
  <si>
    <t>Interpretive trail (planned)</t>
  </si>
  <si>
    <t>Ohlungen Forest</t>
  </si>
  <si>
    <t>Trail in final stages, 2026</t>
  </si>
  <si>
    <t>Mairie de Ohlungen-Keffendorf; Mayor Daniel Klieber</t>
  </si>
  <si>
    <t>03 88 72 77 37; mairie@ohlungen-keffendorf.com</t>
  </si>
  <si>
    <t>Birmingham</t>
  </si>
  <si>
    <r>
      <rPr/>
      <t xml:space="preserve">Twelve information panels honoring the 42nd Division, plus two memorials (Neubourg and Uhlwiller). </t>
    </r>
    <r>
      <rPr>
        <color rgb="FF1155CC"/>
        <u/>
      </rPr>
      <t>www.ohlungen-keffendorf.com</t>
    </r>
    <r>
      <rPr/>
      <t xml:space="preserve"> Reported by Damien Bauer (naglo67@hotmail.fr).</t>
    </r>
  </si>
  <si>
    <t>Rainbow Viaduct, 167th Infantry</t>
  </si>
  <si>
    <t>Viaduct / plaque</t>
  </si>
  <si>
    <t>167th Infantry (4th Alabama), Jefferson Co. KIA</t>
  </si>
  <si>
    <t>21st Street Bridge</t>
  </si>
  <si>
    <t>May 10, 1919</t>
  </si>
  <si>
    <t>Named 'Rainbow Viaduct'</t>
  </si>
  <si>
    <t>Mayor Randall Woodfin, City of Birmingham, AL</t>
  </si>
  <si>
    <t>(205) 254-2000; opi@birminghamal.gov</t>
  </si>
  <si>
    <t>Jean's Florist, Birmingham; 205-640-5451; Emma Nibblett, emmanibblett01@gmail.com</t>
  </si>
  <si>
    <t>47</t>
  </si>
  <si>
    <t>Roll-of-Honor plaques installed 1919; rededicated Veterans' Day 1992.</t>
  </si>
  <si>
    <t>05-10</t>
  </si>
  <si>
    <t>Gambsheim</t>
  </si>
  <si>
    <t xml:space="preserve">Gambsheim Liberation Plaque </t>
  </si>
  <si>
    <t>Mortimer H. Jordan Monument</t>
  </si>
  <si>
    <t>The liberators of Gambsheim, 42nd Division</t>
  </si>
  <si>
    <t>At the Gambsheim train station</t>
  </si>
  <si>
    <t>May 8 (VE-Day)</t>
  </si>
  <si>
    <t>Plaque inaugurated May 8, 2025; Hartwell MIA Jan 6, 1945</t>
  </si>
  <si>
    <t>Capt. Mortimer H. Jordan, 167th Infantry</t>
  </si>
  <si>
    <t>Mairie de Gambsheim; Mayor Hubert Hoffmann</t>
  </si>
  <si>
    <t>Veterans' Administration Hospital grounds</t>
  </si>
  <si>
    <t>July 14, 1971</t>
  </si>
  <si>
    <t>Accepted / relocated to VA grounds</t>
  </si>
  <si>
    <t>Plaque to Lt. Hartwell (MIA Jan 6, 1945, near the train station) and the liberators of Gambsheim; inaugurated May 8, 2025 (VE-Day), attended by the US Consul of Strasbourg and Hartwell family member Gary Hess, in collaboration with the town hall (Mayor Hubert Hoffmann). Source: Rainbow Trail newsletter, Aug 2025 (updating an April 2024 Rainbow Reveille article).</t>
  </si>
  <si>
    <t>Birmingham VA Health Care System (U.S. Dept. of Veterans Affairs) [dir. verify]</t>
  </si>
  <si>
    <r>
      <rPr>
        <rFont val="Arial"/>
        <sz val="9.0"/>
      </rPr>
      <t xml:space="preserve">205-933-8101; </t>
    </r>
    <r>
      <rPr>
        <rFont val="Arial"/>
        <color rgb="FF1155CC"/>
        <sz val="9.0"/>
        <u/>
      </rPr>
      <t>va.gov/birmingham-health-care/contact-us</t>
    </r>
  </si>
  <si>
    <t>E &amp; E House of Flowers and Boutique, Birmingham; 334-356-7999; floralboutique@gmail.com</t>
  </si>
  <si>
    <t>49</t>
  </si>
  <si>
    <t>Erected by chapter 1963; accepted by VA July 14, 1971.</t>
  </si>
  <si>
    <t>07-14</t>
  </si>
  <si>
    <t>Idaho (action France)</t>
  </si>
  <si>
    <t>Valley Forge, PA (display)</t>
  </si>
  <si>
    <t>MOH Pvt. Thomas C. Neibaur (display at MOH Grove)</t>
  </si>
  <si>
    <t>Pvt. Thomas C. Neibaur, Co. M, 167th Infantry</t>
  </si>
  <si>
    <t>Congressional MOH Grove, Freedoms Foundation, Valley Forge, PA</t>
  </si>
  <si>
    <t>45/47</t>
  </si>
  <si>
    <t>DATE CONFLICT: index says Oct 26, 1918; body text p.47 says 16 October 1918 - 16th is correct.</t>
  </si>
  <si>
    <t>Iowa</t>
  </si>
  <si>
    <t>Council Bluffs</t>
  </si>
  <si>
    <t>Grave of General Mathew A. Tinley</t>
  </si>
  <si>
    <t>Brig. Gen. Mathew A. Tinley, 168th Infantry</t>
  </si>
  <si>
    <t>St. Joseph's Catholic Cemetery</t>
  </si>
  <si>
    <t>March 5, 1870 - March 11, 1956</t>
  </si>
  <si>
    <t>Des Moines</t>
  </si>
  <si>
    <t>Memorial to Colonel E. R. Bennett (marker/plaque)</t>
  </si>
  <si>
    <t>Marker / plaque</t>
  </si>
  <si>
    <t>Col. E. R. Bennett, 168th Infantry</t>
  </si>
  <si>
    <t>Captain McHenry Park</t>
  </si>
  <si>
    <t>Park</t>
  </si>
  <si>
    <t>Capt. McHenry; 168th Infantry, Company B</t>
  </si>
  <si>
    <t>50</t>
  </si>
  <si>
    <t>Donald McRae Park</t>
  </si>
  <si>
    <t>Machine Gun Company, 168th Infantry</t>
  </si>
  <si>
    <t>Plaque for 168th Machine Gun Battalion</t>
  </si>
  <si>
    <t>168th Machine Gun Battalion</t>
  </si>
  <si>
    <t>Iowa State Historical Building</t>
  </si>
  <si>
    <t>Fleur Drive</t>
  </si>
  <si>
    <t>Capt. Fleur (died in gas attack), 168th Infantry</t>
  </si>
  <si>
    <t>Burke Park</t>
  </si>
  <si>
    <t>Sgt. John H. Burke, 168th Infantry</t>
  </si>
  <si>
    <t>November 9, 1918</t>
  </si>
  <si>
    <t>Killed in action (Argonne)</t>
  </si>
  <si>
    <t>Burke recommended for DSC for Oct 14 action; killed Nov 9.</t>
  </si>
  <si>
    <t>168th Infantry Photo</t>
  </si>
  <si>
    <t>Photograph</t>
  </si>
  <si>
    <t>168th Infantry</t>
  </si>
  <si>
    <t>State Capitol</t>
  </si>
  <si>
    <t>Ottumwa</t>
  </si>
  <si>
    <t>168th Infantry Company G Plaque</t>
  </si>
  <si>
    <t>168th Infantry, Company G</t>
  </si>
  <si>
    <t>Wapello County Historical Museum</t>
  </si>
  <si>
    <t>51</t>
  </si>
  <si>
    <t>Oskaloosa</t>
  </si>
  <si>
    <t>168th Infantry Company H Plaque</t>
  </si>
  <si>
    <t>168th Infantry, Company H</t>
  </si>
  <si>
    <t>City Park</t>
  </si>
  <si>
    <t>Memorial committee appointed 1973.</t>
  </si>
  <si>
    <t>Bloomer</t>
  </si>
  <si>
    <t>Grave of Martin Treptow</t>
  </si>
  <si>
    <t>Pvt. Martin A. Treptow, Co. M, 168th Infantry</t>
  </si>
  <si>
    <t>July 29, 1918</t>
  </si>
  <si>
    <t>Plaque '1894-1918'; author of the 'Treptow Pledge' cited by President Reagan.</t>
  </si>
  <si>
    <t>Martin Treptow American Legion Post</t>
  </si>
  <si>
    <t>Pvt. Martin A. Treptow</t>
  </si>
  <si>
    <t>1920</t>
  </si>
  <si>
    <t>Post opened</t>
  </si>
  <si>
    <t>Georgia</t>
  </si>
  <si>
    <t>Macon</t>
  </si>
  <si>
    <t>151st Machine Gun Battalion Monument, Coleman Hill</t>
  </si>
  <si>
    <t>151st Machine Gun Battalion</t>
  </si>
  <si>
    <t>Coleman Hill</t>
  </si>
  <si>
    <t>Mayor Lester Miller, Macon-Bibb County, GA</t>
  </si>
  <si>
    <r>
      <rPr>
        <rFont val="Arial"/>
        <sz val="9.0"/>
      </rPr>
      <t xml:space="preserve">(478) 751-7400; </t>
    </r>
    <r>
      <rPr>
        <rFont val="Arial"/>
        <color rgb="FF1155CC"/>
        <sz val="9.0"/>
        <u/>
      </rPr>
      <t>maconbibb.us/mayorlestermiller</t>
    </r>
  </si>
  <si>
    <t>Lawrence Mayer Florist, 608 Mulberry St, Macon GA 31201, (478) 743-0221</t>
  </si>
  <si>
    <t>52</t>
  </si>
  <si>
    <t>Granite monument listing 80 casualty names.</t>
  </si>
  <si>
    <t>151st Machine Gun Battalion Colors</t>
  </si>
  <si>
    <t>Colors / plaque</t>
  </si>
  <si>
    <t>Washington Memorial Library</t>
  </si>
  <si>
    <t>53</t>
  </si>
  <si>
    <t>Colonel Cooper D. Winn, Jr. Grave</t>
  </si>
  <si>
    <t>Col. Cooper D. Winn, Jr., 151st MG Bn</t>
  </si>
  <si>
    <t>Riverside Cemetery</t>
  </si>
  <si>
    <t>Riverside Cemetery &amp; Conservancy (nonprofit), Macon; Mayor Lester Miller, Macon-Bibb Co GA</t>
  </si>
  <si>
    <t>(478) 742-5328; info@riversidecemetery.com</t>
  </si>
  <si>
    <t>Jean and Hall Florists, 768 Cherry St, Macon GA 31201, (478) 743-4443</t>
  </si>
  <si>
    <t>Winn died at age 83; headstone dates OCR-garbled - verify.</t>
  </si>
  <si>
    <t>South Carolina</t>
  </si>
  <si>
    <t>Charleston</t>
  </si>
  <si>
    <t>General Charles P. Summerall Chapel</t>
  </si>
  <si>
    <t>Chapel</t>
  </si>
  <si>
    <t>Gen. Charles P. Summerall, 67th FA Brigade</t>
  </si>
  <si>
    <t>The Citadel</t>
  </si>
  <si>
    <t>1936-1937</t>
  </si>
  <si>
    <t>Chapel erected</t>
  </si>
  <si>
    <t>54</t>
  </si>
  <si>
    <t>Altar window dedicated 1942.</t>
  </si>
  <si>
    <t>District of Columbia</t>
  </si>
  <si>
    <t>Washington</t>
  </si>
  <si>
    <t>General Henry J. Reilly's Library</t>
  </si>
  <si>
    <t>Library</t>
  </si>
  <si>
    <t>Gen. Henry J. Reilly, 149th FA ('Reilly's Bucks')</t>
  </si>
  <si>
    <t>ROA Building, 1 Constitution Ave.</t>
  </si>
  <si>
    <t>55</t>
  </si>
  <si>
    <t>Minnesota</t>
  </si>
  <si>
    <t>Minneapolis</t>
  </si>
  <si>
    <t>Grave of Colonel George E. Leach</t>
  </si>
  <si>
    <t>Brig. Gen. George E. Leach, 151st Field Artillery</t>
  </si>
  <si>
    <t>Fort Snelling National Cemetery, 7601 34th Ave. S</t>
  </si>
  <si>
    <t>July 14, 1876 - July 17, 1955</t>
  </si>
  <si>
    <t>57</t>
  </si>
  <si>
    <t>Mayor of Minneapolis 1921-1929.</t>
  </si>
  <si>
    <t>Mendota</t>
  </si>
  <si>
    <t>Mendota Bridge (dedicated to 151st FA)</t>
  </si>
  <si>
    <t>Bridge</t>
  </si>
  <si>
    <t>151st Field Artillery ('Gopher Gunners')</t>
  </si>
  <si>
    <t>Highway #55 crossing the Minnesota River</t>
  </si>
  <si>
    <t>1926</t>
  </si>
  <si>
    <t>Present bridge built</t>
  </si>
  <si>
    <t>58</t>
  </si>
  <si>
    <t>Horse Watering Trough at the Peavey Fountain</t>
  </si>
  <si>
    <t>Fountain / trough</t>
  </si>
  <si>
    <t>151st Field Artillery horses</t>
  </si>
  <si>
    <t>Lake of the Isles Blvd &amp; Kenwood Parkway</t>
  </si>
  <si>
    <t>1953</t>
  </si>
  <si>
    <t>Rededicated as war-horse memorial</t>
  </si>
  <si>
    <t>Fountain given 1891; rededicated 1953.</t>
  </si>
  <si>
    <t>Rainbow Plot, 151st Field Artillery Battalion</t>
  </si>
  <si>
    <t>Burial plot</t>
  </si>
  <si>
    <t>151st Field Artillery Battalion (13 men)</t>
  </si>
  <si>
    <t>Lakewood Cemetery</t>
  </si>
  <si>
    <t>Mayor Jacob Frey, City of Minneapolis</t>
  </si>
  <si>
    <r>
      <rPr>
        <rFont val="Arial"/>
        <sz val="9.0"/>
      </rPr>
      <t xml:space="preserve">(612) 673-2100; </t>
    </r>
    <r>
      <rPr>
        <rFont val="Arial"/>
        <color rgb="FF1155CC"/>
        <sz val="9.0"/>
        <u/>
      </rPr>
      <t>minneapolismn.gov/government/mayor/contact</t>
    </r>
  </si>
  <si>
    <t>Lake Harriet Florist, 5011 Penn Ave S, Minneapolis MN 55419, (612) 259-8211</t>
  </si>
  <si>
    <t>59</t>
  </si>
  <si>
    <t>Fort Monmouth</t>
  </si>
  <si>
    <t>Wilber Wilkerson Monument</t>
  </si>
  <si>
    <t>Monument / tree</t>
  </si>
  <si>
    <t>Pvt. Wilber Wilkerson, Co. A, 117th Field Signal Bn</t>
  </si>
  <si>
    <t>Avenue of Memories, Fort Monmouth</t>
  </si>
  <si>
    <t>March 17, 1918</t>
  </si>
  <si>
    <t>Killed in action (Luneville sector)</t>
  </si>
  <si>
    <t>First Signal Corps man KIA; memorial plaque dedicated Nov 15, 1958.</t>
  </si>
  <si>
    <t>Marion</t>
  </si>
  <si>
    <t>Colonel J. Monroe Johnson Plaque</t>
  </si>
  <si>
    <t>Col. J. Monroe Johnson, 117th Engineers</t>
  </si>
  <si>
    <t>City Hall, Marion</t>
  </si>
  <si>
    <t>1965</t>
  </si>
  <si>
    <t>Memorial erected</t>
  </si>
  <si>
    <t>60</t>
  </si>
  <si>
    <t>Johnson 1878-1964.</t>
  </si>
  <si>
    <t>Sacramento</t>
  </si>
  <si>
    <t>Rainbow Exhibit (117th Engineers colors)</t>
  </si>
  <si>
    <t>Exhibit / colors</t>
  </si>
  <si>
    <t>117th Engineers</t>
  </si>
  <si>
    <t>61</t>
  </si>
  <si>
    <t>California Chapter colors retired 1935.</t>
  </si>
  <si>
    <t>Rainbow Memorial Grove</t>
  </si>
  <si>
    <t>42nd Division / 117th Engineers</t>
  </si>
  <si>
    <t>North side of Exposition Park</t>
  </si>
  <si>
    <t>May 30, 1935</t>
  </si>
  <si>
    <t>Dedication (Memorial Day)</t>
  </si>
  <si>
    <t>Mayor Karen Bass, City of Los Angeles [verify after Nov 2026 election]</t>
  </si>
  <si>
    <t>(213) 978-0600; mayor.helpdesk@lacity.org</t>
  </si>
  <si>
    <t>CJ Matsumoto &amp; Sons, 1865 W Cordova St, Los Angeles CA 90007, (323) 733-6046</t>
  </si>
  <si>
    <t>L.A. proclaimed Aug 20, 1992 'Rainbow Memorial Grove Day.'</t>
  </si>
  <si>
    <t>Maryland</t>
  </si>
  <si>
    <t>Baltimore</t>
  </si>
  <si>
    <t>117th Trench Mortar Battery Tablet</t>
  </si>
  <si>
    <t>Tablet</t>
  </si>
  <si>
    <t>117th Trench Mortar Battery; Pvt. James Edgar Potts</t>
  </si>
  <si>
    <t>War Memorial Building, Lexington &amp; Gay St.</t>
  </si>
  <si>
    <t>March 9, 1918</t>
  </si>
  <si>
    <t>First Maryland soldier KIA</t>
  </si>
  <si>
    <t>62</t>
  </si>
  <si>
    <t>Building opened April 1925; Potts killed near Badonviller.</t>
  </si>
  <si>
    <t>Kansas</t>
  </si>
  <si>
    <t>Rosedale Memorial Arch, 117th Ammunition Train</t>
  </si>
  <si>
    <t>Arch</t>
  </si>
  <si>
    <t>117th Ammunition Train</t>
  </si>
  <si>
    <t>Mount Marty, Rosedale</t>
  </si>
  <si>
    <t>September 7, 1924</t>
  </si>
  <si>
    <t>Mayor/CEO Christal Watson, Unified Gov. of Wyandotte County/Kansas City, KS (Dec 2025)</t>
  </si>
  <si>
    <r>
      <rPr>
        <rFont val="Arial"/>
        <sz val="9.0"/>
      </rPr>
      <t xml:space="preserve">(913) 573-5000; </t>
    </r>
    <r>
      <rPr>
        <rFont val="Arial"/>
        <color rgb="FF1155CC"/>
        <sz val="9.0"/>
        <u/>
      </rPr>
      <t>wycokck.org</t>
    </r>
    <r>
      <rPr>
        <rFont val="Arial"/>
        <sz val="9.0"/>
      </rPr>
      <t xml:space="preserve"> [email not verified]</t>
    </r>
  </si>
  <si>
    <t>Don Evans Florist &amp; Zucy's Flower Boutique, 1015 N 29th St, Kansas City KS 66102, (913) 321-9800</t>
  </si>
  <si>
    <t>63</t>
  </si>
  <si>
    <t>Modeled on the Arc de Triomphe; ground-broken July 20, 1923 by Gen. Gouraud.</t>
  </si>
  <si>
    <t>09-07</t>
  </si>
  <si>
    <t>Rainbow Medal of Valor (Michigan)</t>
  </si>
  <si>
    <t>Medal / museum display</t>
  </si>
  <si>
    <t>Museum, Tomb of the Unknown Soldier, Arlington National Cemetery</t>
  </si>
  <si>
    <t>1936</t>
  </si>
  <si>
    <t>First presented</t>
  </si>
  <si>
    <t>64</t>
  </si>
  <si>
    <t>Michigan Rainbow Medal of Valor depicts the Navarin Farm Monument.</t>
  </si>
  <si>
    <t>Troy</t>
  </si>
  <si>
    <t>Painting 'Rainbow over France'</t>
  </si>
  <si>
    <t>42nd Inf. Div. HQ / NG Armory, Troy</t>
  </si>
  <si>
    <t>early 1930s</t>
  </si>
  <si>
    <t>Painting created</t>
  </si>
  <si>
    <t>65</t>
  </si>
  <si>
    <t>By Hagen (167th), a Birmingham florist.</t>
  </si>
  <si>
    <t>Verdun</t>
  </si>
  <si>
    <t>42nd Division Avenue</t>
  </si>
  <si>
    <t>Avenue / street</t>
  </si>
  <si>
    <t>42nd Division</t>
  </si>
  <si>
    <t>18</t>
  </si>
  <si>
    <t>Marne</t>
  </si>
  <si>
    <t>Souain / Perthes-les-Hurlus</t>
  </si>
  <si>
    <t>Navarin Farm Monument (Ossuary)</t>
  </si>
  <si>
    <t>Ossuary monument</t>
  </si>
  <si>
    <t>42nd Division; July 1918 Champagne battle</t>
  </si>
  <si>
    <t>north of the Souain-Sommepy road</t>
  </si>
  <si>
    <t>September 28, 1924</t>
  </si>
  <si>
    <t>Dedication (Marshal Joffre presided)</t>
  </si>
  <si>
    <t>Maire de Souain-Perthes-lès-Hurlus, Marne, France [verify current - De Grammont/Leclère; partial election noted]</t>
  </si>
  <si>
    <t>03 26 70 11 98; communesouain@wanadoo.fr</t>
  </si>
  <si>
    <t>Joliment Dit (Interflora), 5 Route de Châlons, 51600 Suippes, +33 3 26 67 53 41</t>
  </si>
  <si>
    <t>14</t>
  </si>
  <si>
    <t>Pyramid ossuary holding ~10,000 remains; RDVA plaque affixed 1991; annual July ceremony.</t>
  </si>
  <si>
    <t>07-15</t>
  </si>
  <si>
    <t>Sommepy (Blanc Mont Ridge)</t>
  </si>
  <si>
    <t>American Monument, Sommepy (Blanc Mont)</t>
  </si>
  <si>
    <t>Monument (tower)</t>
  </si>
  <si>
    <t>US forces in Champagne, incl. 42nd Division</t>
  </si>
  <si>
    <t>Blanc Mont Ridge, north of Navarin Farms</t>
  </si>
  <si>
    <t>1937</t>
  </si>
  <si>
    <t>16</t>
  </si>
  <si>
    <t>Panel: '42nd Division July 15 - July 17.'</t>
  </si>
  <si>
    <t>Aisne</t>
  </si>
  <si>
    <t>Fere-en-Tardenois</t>
  </si>
  <si>
    <t>Meurcy Farm Plaque</t>
  </si>
  <si>
    <t>42nd Division; Sgt. Joyce Kilmer (Battle of the Ourcq)</t>
  </si>
  <si>
    <t>near the Oise-Aisne American Cemetery</t>
  </si>
  <si>
    <t>May 27, 2001</t>
  </si>
  <si>
    <t>17</t>
  </si>
  <si>
    <t>Site where Joyce Kilmer was killed; features his 'Rouge Bouquet' verse.</t>
  </si>
  <si>
    <t>Suippes / Souain</t>
  </si>
  <si>
    <t>151st Field Artillery Memorial</t>
  </si>
  <si>
    <t>Memorial (marker)</t>
  </si>
  <si>
    <t>151st Field Artillery (Minnesota)</t>
  </si>
  <si>
    <t>Pink granite marker.</t>
  </si>
  <si>
    <t>Meurthe-et-Moselle</t>
  </si>
  <si>
    <t>Neuviller-les-Badonviller</t>
  </si>
  <si>
    <t>Rue Paul Jarrett</t>
  </si>
  <si>
    <t>Paul H. Jarrett, wounded WWI Rainbow veteran</t>
  </si>
  <si>
    <t>north of Baccarat</t>
  </si>
  <si>
    <t>July 16, 1989</t>
  </si>
  <si>
    <t>Street named / dedicated</t>
  </si>
  <si>
    <t>13</t>
  </si>
  <si>
    <t>Sign reads '1914-1918'; Jarrett received Legion of Honor 1996.</t>
  </si>
  <si>
    <t>Bad Neuenahr</t>
  </si>
  <si>
    <t>Kurhaus (Casino)</t>
  </si>
  <si>
    <t>42nd Division; formation of RDVA 1919</t>
  </si>
  <si>
    <t>1919</t>
  </si>
  <si>
    <t>RDVA formed here</t>
  </si>
  <si>
    <t>19</t>
  </si>
  <si>
    <t>Served as Division HQ during the occupation.</t>
  </si>
  <si>
    <t>England</t>
  </si>
  <si>
    <t>Surrey</t>
  </si>
  <si>
    <t>Brookwood</t>
  </si>
  <si>
    <t>Brookwood American Cemetery</t>
  </si>
  <si>
    <t>Rainbow Division WWI dead (2 + a headstone)</t>
  </si>
  <si>
    <t>Brookwood, Surrey</t>
  </si>
  <si>
    <t>ABMC - Brookwood American Cemetery, Brookwood Surrey GU24 0JB, England</t>
  </si>
  <si>
    <t>+44 1483 473237; brookwood@abmc.gov</t>
  </si>
  <si>
    <t>ABMC: order via international florist (Interflora/FTD) to cemetery w/ Plot/Row/Grave; staff place &amp; photo. Brookwood GU24 0JB</t>
  </si>
  <si>
    <t>Includes Pvt. Patton (AL) and Pvt. Willcox (IA).</t>
  </si>
  <si>
    <t>Chateau-Thierry (Belleau)</t>
  </si>
  <si>
    <t>Aisne-Marne American Cemetery</t>
  </si>
  <si>
    <t>Rainbow Division WWI dead (120)</t>
  </si>
  <si>
    <t>Belleau</t>
  </si>
  <si>
    <t>ABMC - Aisne-Marne American Cemetery, Belleau, France</t>
  </si>
  <si>
    <t>+33 3 23 70 70 90; aisne-marne@abmc.gov</t>
  </si>
  <si>
    <t>ABMC: order via florist to cemetery w/ Plot/Row/Grave; staff place &amp; photo. Florist: Abutilon Bis, Château-Thierry, +33 3 23 83 00 91</t>
  </si>
  <si>
    <t>Meuse</t>
  </si>
  <si>
    <t>Romagne-sous-Montfaucon</t>
  </si>
  <si>
    <t>Meuse-Argonne American Cemetery</t>
  </si>
  <si>
    <t>Rainbow Division WWI dead (582)</t>
  </si>
  <si>
    <t>Romagne</t>
  </si>
  <si>
    <t>ABMC - Meuse-Argonne American Cemetery, Romagne-sous-Montfaucon, France</t>
  </si>
  <si>
    <t>+33 3 29 85 14 18; meuse-argonne@abmc.gov</t>
  </si>
  <si>
    <t>ABMC: order via florist to cemetery w/ Plot/Row/Grave; staff place &amp; photo. Florist: C'est le Bouquet, Verdun, +33 3 29 80 56 29</t>
  </si>
  <si>
    <t>Largest Rainbow WWI burial site.</t>
  </si>
  <si>
    <t>Oise-Aisne American Cemetery</t>
  </si>
  <si>
    <t>Rainbow Division WWI dead (378); Sgt. Joyce Kilmer</t>
  </si>
  <si>
    <t>Kilmer KIA (buried Plot B, Row 9, Grave 15)</t>
  </si>
  <si>
    <t>ABMC - Oise-Aisne American Cemetery, Seringes-et-Nesles, France</t>
  </si>
  <si>
    <t>+33 3 23 82 21 81; oise-aisne@abmc.gov</t>
  </si>
  <si>
    <t>ABMC: order via florist to cemetery w/ Plot/Row/Grave; staff place &amp; photo. Florist: Aux Fleurs de Tardenois, Fère-en-Tardenois, +33 3 23 82 39 12</t>
  </si>
  <si>
    <t>Joyce Kilmer is buried here.</t>
  </si>
  <si>
    <t>Thiaucourt</t>
  </si>
  <si>
    <t>St. Mihiel American Cemetery</t>
  </si>
  <si>
    <t>Rainbow Division WWI dead (147)</t>
  </si>
  <si>
    <t>ABMC - St. Mihiel American Cemetery, Thiaucourt, France</t>
  </si>
  <si>
    <t>+33 3 83 80 01 01; saint-mihiel@abmc.gov</t>
  </si>
  <si>
    <t>ABMC: order via florist to cemetery w/ Plot/Row/Grave; staff place &amp; photo. Florist: Le Jardin de Roger, Thiaucourt, +33 6 82 46 31 80</t>
  </si>
  <si>
    <t>Somme</t>
  </si>
  <si>
    <t>Bony</t>
  </si>
  <si>
    <t>Somme American Cemetery</t>
  </si>
  <si>
    <t>Rainbow Division WWI dead (1)</t>
  </si>
  <si>
    <t>ABMC - Somme American Cemetery, Bony, France</t>
  </si>
  <si>
    <t>+33 3 23 66 87 20; somme@abmc.gov</t>
  </si>
  <si>
    <t>ABMC: order via florist to cemetery w/ Plot/Row/Grave; staff place &amp; photo. Florist: Euroflorist or La Comédie des Fleurs (all-Europe)</t>
  </si>
  <si>
    <t>Hauts-de-Seine</t>
  </si>
  <si>
    <t>Suresnes</t>
  </si>
  <si>
    <t>Suresnes American Cemetery</t>
  </si>
  <si>
    <t>Rainbow Division WWI dead (25)</t>
  </si>
  <si>
    <t>ABMC - Suresnes American Cemetery, Blvd Washington, Suresnes, France</t>
  </si>
  <si>
    <t>+33 1 46 25 01 70; suresnes@abmc.gov</t>
  </si>
  <si>
    <t>ABMC: order via florist to cemetery w/ Plot/Row/Grave; staff place &amp; photo. Florist: Aude Rose, Suresnes, +33 1 47 72 49 31</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</si>
</sst>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mm d"/>
    <numFmt numFmtId="165" formatCode="mmmm yyyy"/>
    <numFmt numFmtId="166" formatCode="mmmm d, yyyy"/>
  </numFmts>
  <fonts count="18">
    <font>
      <sz val="11.0"/>
      <color theme="1"/>
      <name val="Calibri"/>
      <scheme val="minor"/>
    </font>
    <font>
      <b/>
      <sz val="16.0"/>
      <color rgb="FF1F3864"/>
      <name val="Arial"/>
    </font>
    <font>
      <i/>
      <sz val="10.0"/>
      <color rgb="FF595959"/>
      <name val="Arial"/>
    </font>
    <font>
      <sz val="10.0"/>
      <color rgb="FF000000"/>
      <name val="Arial"/>
    </font>
    <font>
      <b/>
      <sz val="15.0"/>
      <color rgb="FF1F3864"/>
      <name val="Arial"/>
    </font>
    <font>
      <u/>
      <sz val="10.0"/>
      <color rgb="FF000000"/>
      <name val="Arial"/>
    </font>
    <font>
      <i/>
      <sz val="9.0"/>
      <color rgb="FF595959"/>
      <name val="Arial"/>
    </font>
    <font>
      <b/>
      <sz val="12.0"/>
      <color rgb="FF1F3864"/>
      <name val="Arial"/>
    </font>
    <font>
      <b/>
      <sz val="9.0"/>
      <color rgb="FFFFFFFF"/>
      <name val="Arial"/>
    </font>
    <font>
      <sz val="9.0"/>
      <color theme="1"/>
      <name val="Arial"/>
    </font>
    <font>
      <color theme="1"/>
      <name val="Calibri"/>
      <scheme val="minor"/>
    </font>
    <font>
      <u/>
      <sz val="9.0"/>
      <color rgb="FF0000FF"/>
      <name val="Arial"/>
    </font>
    <font>
      <u/>
      <color rgb="FF0000FF"/>
    </font>
    <font>
      <b/>
      <sz val="16.0"/>
      <color rgb="FF1C4587"/>
      <name val="Calibri"/>
      <scheme val="minor"/>
    </font>
    <font>
      <sz val="16.0"/>
      <color rgb="FF1C4587"/>
      <name val="Calibri"/>
      <scheme val="minor"/>
    </font>
    <font>
      <b/>
      <color theme="1"/>
      <name val="Calibri"/>
      <scheme val="minor"/>
    </font>
    <font>
      <u/>
      <color rgb="FF0000FF"/>
    </font>
    <font>
      <u/>
      <color rgb="FF0000FF"/>
    </font>
  </fonts>
  <fills count="5">
    <fill>
      <patternFill patternType="none"/>
    </fill>
    <fill>
      <patternFill patternType="lightGray"/>
    </fill>
    <fill>
      <patternFill patternType="solid">
        <fgColor rgb="FF1F3864"/>
        <bgColor rgb="FF1F3864"/>
      </patternFill>
    </fill>
    <fill>
      <patternFill patternType="solid">
        <fgColor rgb="FFFFF2CC"/>
        <bgColor rgb="FFFFF2CC"/>
      </patternFill>
    </fill>
    <fill>
      <patternFill patternType="solid">
        <fgColor rgb="FFFFFFFF"/>
        <bgColor rgb="FFFFFFFF"/>
      </patternFill>
    </fill>
  </fills>
  <borders count="2">
    <border/>
    <border>
      <left style="thin">
        <color rgb="FFBFBFBF"/>
      </left>
      <right style="thin">
        <color rgb="FFBFBFBF"/>
      </right>
      <top style="thin">
        <color rgb="FFBFBFBF"/>
      </top>
      <bottom style="thin">
        <color rgb="FFBFBFBF"/>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readingOrder="0" shrinkToFit="0" vertical="top" wrapText="1"/>
    </xf>
    <xf borderId="0" fillId="0" fontId="2" numFmtId="0" xfId="0" applyAlignment="1" applyFont="1">
      <alignment shrinkToFit="0" vertical="top" wrapText="1"/>
    </xf>
    <xf borderId="0" fillId="0" fontId="3" numFmtId="0" xfId="0" applyAlignment="1" applyFont="1">
      <alignment shrinkToFit="0" vertical="top" wrapText="1"/>
    </xf>
    <xf borderId="0" fillId="0" fontId="4" numFmtId="0" xfId="0" applyAlignment="1" applyFont="1">
      <alignment horizontal="left" readingOrder="0" vertical="center"/>
    </xf>
    <xf borderId="0" fillId="0" fontId="5" numFmtId="0" xfId="0" applyAlignment="1" applyFont="1">
      <alignment readingOrder="0" shrinkToFit="0" vertical="top" wrapText="1"/>
    </xf>
    <xf borderId="0" fillId="0" fontId="6" numFmtId="0" xfId="0" applyAlignment="1" applyFont="1">
      <alignment horizontal="left" readingOrder="0" vertical="center"/>
    </xf>
    <xf borderId="0" fillId="0" fontId="3" numFmtId="0" xfId="0" applyAlignment="1" applyFont="1">
      <alignment readingOrder="0" shrinkToFit="0" vertical="top" wrapText="1"/>
    </xf>
    <xf borderId="0" fillId="0" fontId="7" numFmtId="0" xfId="0" applyAlignment="1" applyFont="1">
      <alignment shrinkToFit="0" vertical="top" wrapText="1"/>
    </xf>
    <xf borderId="1" fillId="2" fontId="8" numFmtId="0" xfId="0" applyAlignment="1" applyBorder="1" applyFill="1" applyFont="1">
      <alignment horizontal="center" shrinkToFit="0" vertical="center" wrapText="1"/>
    </xf>
    <xf borderId="0" fillId="0" fontId="7" numFmtId="0" xfId="0" applyAlignment="1" applyFont="1">
      <alignment readingOrder="0" shrinkToFit="0" vertical="top" wrapText="1"/>
    </xf>
    <xf borderId="0" fillId="0" fontId="3" numFmtId="0" xfId="0" applyAlignment="1" applyFont="1">
      <alignment readingOrder="0" shrinkToFit="0" vertical="top" wrapText="1"/>
    </xf>
    <xf borderId="0" fillId="0" fontId="3" numFmtId="0" xfId="0" applyAlignment="1" applyFont="1">
      <alignment readingOrder="0" shrinkToFit="0" vertical="top" wrapText="1"/>
    </xf>
    <xf borderId="1" fillId="0" fontId="9" numFmtId="0" xfId="0" applyAlignment="1" applyBorder="1" applyFont="1">
      <alignment horizontal="center" shrinkToFit="0" vertical="top" wrapText="1"/>
    </xf>
    <xf borderId="1" fillId="3" fontId="9" numFmtId="0" xfId="0" applyAlignment="1" applyBorder="1" applyFill="1" applyFont="1">
      <alignment horizontal="center" shrinkToFit="0" vertical="top" wrapText="1"/>
    </xf>
    <xf borderId="1" fillId="0" fontId="9" numFmtId="0" xfId="0" applyAlignment="1" applyBorder="1" applyFont="1">
      <alignment horizontal="left" shrinkToFit="0" vertical="top" wrapText="1"/>
    </xf>
    <xf borderId="1" fillId="3" fontId="9" numFmtId="0" xfId="0" applyAlignment="1" applyBorder="1" applyFont="1">
      <alignment horizontal="left" shrinkToFit="0" vertical="top" wrapText="1"/>
    </xf>
    <xf borderId="0" fillId="0" fontId="6" numFmtId="0" xfId="0" applyAlignment="1" applyFont="1">
      <alignment shrinkToFit="0" vertical="top" wrapText="1"/>
    </xf>
    <xf borderId="1" fillId="3" fontId="9" numFmtId="0" xfId="0" applyAlignment="1" applyBorder="1" applyFont="1">
      <alignment horizontal="left" readingOrder="0" shrinkToFit="0" vertical="top" wrapText="1"/>
    </xf>
    <xf borderId="0" fillId="0" fontId="10" numFmtId="0" xfId="0" applyAlignment="1" applyFont="1">
      <alignment shrinkToFit="0" wrapText="1"/>
    </xf>
    <xf borderId="1" fillId="3" fontId="11" numFmtId="0" xfId="0" applyAlignment="1" applyBorder="1" applyFont="1">
      <alignment horizontal="left" readingOrder="0" shrinkToFit="0" vertical="top" wrapText="1"/>
    </xf>
    <xf quotePrefix="1" borderId="0" fillId="0" fontId="10" numFmtId="0" xfId="0" applyAlignment="1" applyFont="1">
      <alignment readingOrder="0"/>
    </xf>
    <xf borderId="0" fillId="0" fontId="12" numFmtId="0" xfId="0" applyFont="1"/>
    <xf borderId="0" fillId="0" fontId="13" numFmtId="0" xfId="0" applyAlignment="1" applyFont="1">
      <alignment readingOrder="0"/>
    </xf>
    <xf borderId="0" fillId="0" fontId="14" numFmtId="0" xfId="0" applyFont="1"/>
    <xf quotePrefix="1" borderId="0" fillId="0" fontId="10" numFmtId="0" xfId="0" applyAlignment="1" applyFont="1">
      <alignment readingOrder="0" shrinkToFit="0" wrapText="1"/>
    </xf>
    <xf borderId="0" fillId="0" fontId="15" numFmtId="0" xfId="0" applyFont="1"/>
    <xf borderId="0" fillId="0" fontId="10" numFmtId="0" xfId="0" applyFont="1"/>
    <xf borderId="0" fillId="0" fontId="10" numFmtId="0" xfId="0" applyAlignment="1" applyFont="1">
      <alignment readingOrder="0"/>
    </xf>
    <xf borderId="1" fillId="0" fontId="9" numFmtId="0" xfId="0" applyAlignment="1" applyBorder="1" applyFont="1">
      <alignment horizontal="left" readingOrder="0" shrinkToFit="0" vertical="top" wrapText="1"/>
    </xf>
    <xf borderId="0" fillId="0" fontId="16" numFmtId="0" xfId="0" applyAlignment="1" applyFont="1">
      <alignment shrinkToFit="0" wrapText="1"/>
    </xf>
    <xf borderId="1" fillId="0" fontId="9" numFmtId="0" xfId="0" applyAlignment="1" applyBorder="1" applyFont="1">
      <alignment horizontal="left" readingOrder="0" shrinkToFit="0" vertical="top" wrapText="1"/>
    </xf>
    <xf borderId="1" fillId="3" fontId="9" numFmtId="0" xfId="0" applyAlignment="1" applyBorder="1" applyFont="1">
      <alignment horizontal="center" readingOrder="0" shrinkToFit="0" vertical="top" wrapText="1"/>
    </xf>
    <xf borderId="1" fillId="0" fontId="9" numFmtId="0" xfId="0" applyAlignment="1" applyBorder="1" applyFont="1">
      <alignment horizontal="center" readingOrder="0" shrinkToFit="0" vertical="top" wrapText="1"/>
    </xf>
    <xf borderId="0" fillId="4" fontId="10" numFmtId="0" xfId="0" applyFill="1" applyFont="1"/>
    <xf borderId="1" fillId="3" fontId="9" numFmtId="164" xfId="0" applyAlignment="1" applyBorder="1" applyFont="1" applyNumberFormat="1">
      <alignment horizontal="center" readingOrder="0" shrinkToFit="0" vertical="top" wrapText="1"/>
    </xf>
    <xf quotePrefix="1" borderId="1" fillId="3" fontId="9" numFmtId="0" xfId="0" applyAlignment="1" applyBorder="1" applyFont="1">
      <alignment horizontal="left" readingOrder="0" shrinkToFit="0" vertical="top" wrapText="1"/>
    </xf>
    <xf borderId="0" fillId="0" fontId="14" numFmtId="0" xfId="0" applyAlignment="1" applyFont="1">
      <alignment readingOrder="0"/>
    </xf>
    <xf borderId="1" fillId="0" fontId="9" numFmtId="165" xfId="0" applyAlignment="1" applyBorder="1" applyFont="1" applyNumberFormat="1">
      <alignment horizontal="center" readingOrder="0" shrinkToFit="0" vertical="top" wrapText="1"/>
    </xf>
    <xf quotePrefix="1" borderId="1" fillId="0" fontId="9" numFmtId="0" xfId="0" applyAlignment="1" applyBorder="1" applyFont="1">
      <alignment horizontal="left" readingOrder="0" shrinkToFit="0" vertical="top" wrapText="1"/>
    </xf>
    <xf borderId="0" fillId="0" fontId="10" numFmtId="0" xfId="0" applyAlignment="1" applyFont="1">
      <alignment readingOrder="0" shrinkToFit="0" wrapText="1"/>
    </xf>
    <xf borderId="0" fillId="0" fontId="10" numFmtId="0" xfId="0" applyAlignment="1" applyFont="1">
      <alignment readingOrder="0" shrinkToFit="0" wrapText="0"/>
    </xf>
    <xf borderId="0" fillId="0" fontId="10" numFmtId="165" xfId="0" applyAlignment="1" applyFont="1" applyNumberFormat="1">
      <alignment readingOrder="0" shrinkToFit="0" wrapText="0"/>
    </xf>
    <xf borderId="0" fillId="0" fontId="10" numFmtId="0" xfId="0" applyAlignment="1" applyFont="1">
      <alignment shrinkToFit="0" wrapText="0"/>
    </xf>
    <xf borderId="0" fillId="3" fontId="10" numFmtId="0" xfId="0" applyFont="1"/>
    <xf borderId="0" fillId="0" fontId="10" numFmtId="166" xfId="0" applyAlignment="1" applyFont="1" applyNumberFormat="1">
      <alignment readingOrder="0" shrinkToFit="0" wrapText="0"/>
    </xf>
    <xf borderId="0" fillId="0" fontId="17" numFmtId="0" xfId="0" applyAlignment="1" applyFont="1">
      <alignment readingOrder="0" shrinkToFit="0" wrapText="0"/>
    </xf>
    <xf borderId="0" fillId="0" fontId="10" numFmtId="0" xfId="0" applyAlignment="1" applyFont="1">
      <alignment horizontal="right" readingOrder="0" shrinkToFit="0" wrapText="0"/>
    </xf>
    <xf borderId="0" fillId="0" fontId="10" numFmtId="0" xfId="0" applyAlignment="1" applyFont="1">
      <alignment readingOrder="0" shrinkToFit="0" wrapText="0"/>
    </xf>
    <xf borderId="1" fillId="0" fontId="9" numFmtId="166" xfId="0" applyAlignment="1" applyBorder="1" applyFont="1" applyNumberForma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0"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erin@fortitude-research.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www.google.com/maps/search/?api=1&amp;query=Plaque%20for%20168th%20Machine%20Gun%20Battalion%2C%20Des%20Moines%2C%20Iowa%2C%20USA" TargetMode="External"/><Relationship Id="rId42" Type="http://schemas.openxmlformats.org/officeDocument/2006/relationships/hyperlink" Target="https://www.google.com/maps/search/?api=1&amp;query=Burke%20Park%2C%20Des%20Moines%2C%20Iowa%2C%20USA" TargetMode="External"/><Relationship Id="rId41" Type="http://schemas.openxmlformats.org/officeDocument/2006/relationships/hyperlink" Target="https://www.google.com/maps/search/?api=1&amp;query=Fleur%20Drive%2C%20Des%20Moines%2C%20Iowa%2C%20USA" TargetMode="External"/><Relationship Id="rId44" Type="http://schemas.openxmlformats.org/officeDocument/2006/relationships/hyperlink" Target="https://www.google.com/maps/search/?api=1&amp;query=168th%20Infantry%20Company%20G%20Plaque%2C%20Ottumwa%2C%20Iowa%2C%20USA" TargetMode="External"/><Relationship Id="rId43" Type="http://schemas.openxmlformats.org/officeDocument/2006/relationships/hyperlink" Target="https://www.google.com/maps/search/?api=1&amp;query=168th%20Infantry%20Photo%2C%20Des%20Moines%2C%20Iowa%2C%20USA" TargetMode="External"/><Relationship Id="rId46" Type="http://schemas.openxmlformats.org/officeDocument/2006/relationships/hyperlink" Target="https://www.google.com/maps/search/?api=1&amp;query=Grave%20of%20Martin%20Treptow%2C%20Bloomer%2C%20Wisconsin%2C%20USA" TargetMode="External"/><Relationship Id="rId45" Type="http://schemas.openxmlformats.org/officeDocument/2006/relationships/hyperlink" Target="https://www.google.com/maps/search/?api=1&amp;query=168th%20Infantry%20Company%20H%20Plaque%2C%20Oskaloosa%2C%20Iowa%2C%20USA" TargetMode="External"/><Relationship Id="rId80" Type="http://schemas.openxmlformats.org/officeDocument/2006/relationships/hyperlink" Target="https://www.google.com/maps/search/?api=1&amp;query=Somme%20American%20Cemetery%2C%20Bony%2C%20Somme%2C%20France" TargetMode="External"/><Relationship Id="rId82" Type="http://schemas.openxmlformats.org/officeDocument/2006/relationships/drawing" Target="../drawings/drawing2.xml"/><Relationship Id="rId81" Type="http://schemas.openxmlformats.org/officeDocument/2006/relationships/hyperlink" Target="https://www.google.com/maps/search/?api=1&amp;query=Suresnes%20American%20Cemetery%2C%20Suresnes%2C%20Hauts-de-Seine%2C%20France" TargetMode="External"/><Relationship Id="rId1" Type="http://schemas.openxmlformats.org/officeDocument/2006/relationships/hyperlink" Target="http://gardencityny.net/142/Contact" TargetMode="External"/><Relationship Id="rId2" Type="http://schemas.openxmlformats.org/officeDocument/2006/relationships/hyperlink" Target="http://nyc.gov/mayors-office/contact-the-mayor" TargetMode="External"/><Relationship Id="rId3" Type="http://schemas.openxmlformats.org/officeDocument/2006/relationships/hyperlink" Target="https://www.google.com/maps/search/?api=1&amp;query=Father%20Duffy%27s%20Statue%2C%20Duffy%20Square%2C%20New%20York%20City%2C%20New%20York%2C%20USA" TargetMode="External"/><Relationship Id="rId4" Type="http://schemas.openxmlformats.org/officeDocument/2006/relationships/hyperlink" Target="https://www.google.com/maps/search/?api=1&amp;query=Father%20Duffy%27s%20Grave%2C%20New%20York%20City%2C%20New%20York%2C%20USA" TargetMode="External"/><Relationship Id="rId9" Type="http://schemas.openxmlformats.org/officeDocument/2006/relationships/hyperlink" Target="https://www.google.com/maps/search/?api=1&amp;query=Joyce%20Kilmer%20Memorial%20Forest%20%26%20Plaque%2C%20Robbinsville%2C%20North%20Carolina%2C%20USA" TargetMode="External"/><Relationship Id="rId48" Type="http://schemas.openxmlformats.org/officeDocument/2006/relationships/hyperlink" Target="http://maconbibb.us/mayorlestermiller" TargetMode="External"/><Relationship Id="rId47" Type="http://schemas.openxmlformats.org/officeDocument/2006/relationships/hyperlink" Target="https://www.google.com/maps/search/?api=1&amp;query=Martin%20Treptow%20American%20Legion%20Post%2C%20Bloomer%2C%20Wisconsin%2C%20USA" TargetMode="External"/><Relationship Id="rId49" Type="http://schemas.openxmlformats.org/officeDocument/2006/relationships/hyperlink" Target="https://www.google.com/maps/search/?api=1&amp;query=151st%20Machine%20Gun%20Battalion%20Monument%2C%20Coleman%20Hill%2C%20Macon%2C%20Georgia%2C%20USA" TargetMode="External"/><Relationship Id="rId5" Type="http://schemas.openxmlformats.org/officeDocument/2006/relationships/hyperlink" Target="http://arlingtoncemetery.mil/contact" TargetMode="External"/><Relationship Id="rId6" Type="http://schemas.openxmlformats.org/officeDocument/2006/relationships/hyperlink" Target="https://www.google.com/maps/search/?api=1&amp;query=Grave%20of%20William%20J.%20%27Wild%20Bill%27%20Donovan%20%28MOH%29%2C%20Arlington%2C%20Virginia%2C%20USA" TargetMode="External"/><Relationship Id="rId7" Type="http://schemas.openxmlformats.org/officeDocument/2006/relationships/hyperlink" Target="https://www.google.com/maps/search/?api=1&amp;query=Joyce%20Kilmer%20Home%20%26%20American%20Legion%20Post%20%2325%2C%20New%20Brunswick%20%2F%20Milltown%2C%20New%20Jersey%2C%20USA" TargetMode="External"/><Relationship Id="rId8" Type="http://schemas.openxmlformats.org/officeDocument/2006/relationships/hyperlink" Target="https://www.google.com/maps/search/?api=1&amp;query=Joyce%20Kilmer%20Cenotaph%2C%20New%20Brunswick%2C%20New%20Jersey%2C%20USA" TargetMode="External"/><Relationship Id="rId73" Type="http://schemas.openxmlformats.org/officeDocument/2006/relationships/hyperlink" Target="https://www.google.com/maps/search/?api=1&amp;query=Rue%20Paul%20Jarrett%2C%20Neuviller-les-Badonviller%2C%20Meurthe-et-Moselle%2C%20France" TargetMode="External"/><Relationship Id="rId72" Type="http://schemas.openxmlformats.org/officeDocument/2006/relationships/hyperlink" Target="https://www.google.com/maps/search/?api=1&amp;query=151st%20Field%20Artillery%20Memorial%2C%20Suippes%20%2F%20Souain%2C%20Marne%2C%20France" TargetMode="External"/><Relationship Id="rId31" Type="http://schemas.openxmlformats.org/officeDocument/2006/relationships/hyperlink" Target="https://www.google.com/maps/search/?api=1&amp;query=MOH%20Cpl.%20Sidney%20E.%20Manning%20Monument%2C%20Flomaton%2C%20Alabama%2C%20USA" TargetMode="External"/><Relationship Id="rId75" Type="http://schemas.openxmlformats.org/officeDocument/2006/relationships/hyperlink" Target="https://www.google.com/maps/search/?api=1&amp;query=Brookwood%20American%20Cemetery%2C%20Brookwood%2C%20Surrey%2C%20England" TargetMode="External"/><Relationship Id="rId30" Type="http://schemas.openxmlformats.org/officeDocument/2006/relationships/hyperlink" Target="https://www.google.com/maps/search/?api=1&amp;query=Rainbow%20Archives%2C%20Montgomery%2C%20Alabama%2C%20USA" TargetMode="External"/><Relationship Id="rId74" Type="http://schemas.openxmlformats.org/officeDocument/2006/relationships/hyperlink" Target="https://www.google.com/maps/search/?api=1&amp;query=Kurhaus%20%28Casino%29%2C%20Bad%20Neuenahr%2C%20Rhineland-Palatinate%2C%20Germany" TargetMode="External"/><Relationship Id="rId33" Type="http://schemas.openxmlformats.org/officeDocument/2006/relationships/hyperlink" Target="http://va.gov/birmingham-health-care/contact-us" TargetMode="External"/><Relationship Id="rId77" Type="http://schemas.openxmlformats.org/officeDocument/2006/relationships/hyperlink" Target="https://www.google.com/maps/search/?api=1&amp;query=Meuse-Argonne%20American%20Cemetery%2C%20Romagne-sous-Montfaucon%2C%20Meuse%2C%20France" TargetMode="External"/><Relationship Id="rId32" Type="http://schemas.openxmlformats.org/officeDocument/2006/relationships/hyperlink" Target="https://www.google.com/maps/search/?api=1&amp;query=Rainbow%20Viaduct%2C%20167th%20Infantry%2C%20Birmingham%2C%20Alabama%2C%20USA" TargetMode="External"/><Relationship Id="rId76" Type="http://schemas.openxmlformats.org/officeDocument/2006/relationships/hyperlink" Target="https://www.google.com/maps/search/?api=1&amp;query=Aisne-Marne%20American%20Cemetery%2C%20Chateau-Thierry%20%28Belleau%29%2C%20Aisne%2C%20France" TargetMode="External"/><Relationship Id="rId35" Type="http://schemas.openxmlformats.org/officeDocument/2006/relationships/hyperlink" Target="https://www.google.com/maps/search/?api=1&amp;query=MOH%20Pvt.%20Thomas%20C.%20Neibaur%20%28display%20at%20MOH%20Grove%29%2C%20Valley%20Forge%2C%20PA%20%28display%29%2C%20Idaho%20%28action%20France%29%2C%20USA" TargetMode="External"/><Relationship Id="rId79" Type="http://schemas.openxmlformats.org/officeDocument/2006/relationships/hyperlink" Target="https://www.google.com/maps/search/?api=1&amp;query=St.%20Mihiel%20American%20Cemetery%2C%20Thiaucourt%2C%20Meurthe-et-Moselle%2C%20France" TargetMode="External"/><Relationship Id="rId34" Type="http://schemas.openxmlformats.org/officeDocument/2006/relationships/hyperlink" Target="https://www.google.com/maps/search/?api=1&amp;query=Mortimer%20H.%20Jordan%20Monument%2C%20Birmingham%2C%20Alabama%2C%20USA" TargetMode="External"/><Relationship Id="rId78" Type="http://schemas.openxmlformats.org/officeDocument/2006/relationships/hyperlink" Target="https://www.google.com/maps/search/?api=1&amp;query=Oise-Aisne%20American%20Cemetery%2C%20Fere-en-Tardenois%2C%20Aisne%2C%20France" TargetMode="External"/><Relationship Id="rId71" Type="http://schemas.openxmlformats.org/officeDocument/2006/relationships/hyperlink" Target="https://www.google.com/maps/search/?api=1&amp;query=Meurcy%20Farm%20Plaque%2C%20Fere-en-Tardenois%2C%20Aisne%2C%20France" TargetMode="External"/><Relationship Id="rId70" Type="http://schemas.openxmlformats.org/officeDocument/2006/relationships/hyperlink" Target="https://www.google.com/maps/search/?api=1&amp;query=American%20Monument%2C%20Sommepy%20%28Blanc%20Mont%29%2C%20Sommepy%20%28Blanc%20Mont%20Ridge%29%2C%20Marne%2C%20France" TargetMode="External"/><Relationship Id="rId37" Type="http://schemas.openxmlformats.org/officeDocument/2006/relationships/hyperlink" Target="https://www.google.com/maps/search/?api=1&amp;query=Memorial%20to%20Colonel%20E.%20R.%20Bennett%20%28marker%2Fplaque%29%2C%20Des%20Moines%2C%20Iowa%2C%20USA" TargetMode="External"/><Relationship Id="rId36" Type="http://schemas.openxmlformats.org/officeDocument/2006/relationships/hyperlink" Target="https://www.google.com/maps/search/?api=1&amp;query=Grave%20of%20General%20Mathew%20A.%20Tinley%2C%20Council%20Bluffs%2C%20Iowa%2C%20USA" TargetMode="External"/><Relationship Id="rId39" Type="http://schemas.openxmlformats.org/officeDocument/2006/relationships/hyperlink" Target="https://www.google.com/maps/search/?api=1&amp;query=Donald%20McRae%20Park%2C%20Des%20Moines%2C%20Iowa%2C%20USA" TargetMode="External"/><Relationship Id="rId38" Type="http://schemas.openxmlformats.org/officeDocument/2006/relationships/hyperlink" Target="https://www.google.com/maps/search/?api=1&amp;query=Captain%20McHenry%20Park%2C%20Des%20Moines%2C%20Iowa%2C%20USA" TargetMode="External"/><Relationship Id="rId62" Type="http://schemas.openxmlformats.org/officeDocument/2006/relationships/hyperlink" Target="https://www.google.com/maps/search/?api=1&amp;query=Rainbow%20Memorial%20Grove%2C%20Los%20Angeles%2C%20California%2C%20USA" TargetMode="External"/><Relationship Id="rId61" Type="http://schemas.openxmlformats.org/officeDocument/2006/relationships/hyperlink" Target="https://www.google.com/maps/search/?api=1&amp;query=Rainbow%20Exhibit%20%28117th%20Engineers%20colors%29%2C%20Sacramento%2C%20California%2C%20USA" TargetMode="External"/><Relationship Id="rId20" Type="http://schemas.openxmlformats.org/officeDocument/2006/relationships/hyperlink" Target="https://www.google.com/maps/search/?api=1&amp;query=Company%20L%2C%20166th%20Infantry%20Memorial%2C%20Lancaster%2C%20Ohio%2C%20USA" TargetMode="External"/><Relationship Id="rId64" Type="http://schemas.openxmlformats.org/officeDocument/2006/relationships/hyperlink" Target="http://wycokck.org/" TargetMode="External"/><Relationship Id="rId63" Type="http://schemas.openxmlformats.org/officeDocument/2006/relationships/hyperlink" Target="https://www.google.com/maps/search/?api=1&amp;query=117th%20Trench%20Mortar%20Battery%20Tablet%2C%20Baltimore%2C%20Maryland%2C%20USA" TargetMode="External"/><Relationship Id="rId22" Type="http://schemas.openxmlformats.org/officeDocument/2006/relationships/hyperlink" Target="https://www.google.com/maps/search/?api=1&amp;query=Grave%20of%20Leland%20L.%20Whitney%2C%20Arlington%2C%20Virginia%2C%20USA" TargetMode="External"/><Relationship Id="rId66" Type="http://schemas.openxmlformats.org/officeDocument/2006/relationships/hyperlink" Target="https://www.google.com/maps/search/?api=1&amp;query=Rainbow%20Medal%20of%20Valor%20%28Michigan%29%2C%20Arlington%2C%20Virginia%2C%20USA" TargetMode="External"/><Relationship Id="rId21" Type="http://schemas.openxmlformats.org/officeDocument/2006/relationships/hyperlink" Target="https://www.google.com/maps/search/?api=1&amp;query=Veterans%20of%20Company%20G%2C%20166th%20Infantry%20Memorial%2C%20Greenfield%2C%20Ohio%2C%20USA" TargetMode="External"/><Relationship Id="rId65" Type="http://schemas.openxmlformats.org/officeDocument/2006/relationships/hyperlink" Target="https://www.google.com/maps/search/?api=1&amp;query=Rosedale%20Memorial%20Arch%2C%20117th%20Ammunition%20Train%2C%20Kansas%20City%2C%20Kansas%2C%20USA" TargetMode="External"/><Relationship Id="rId24" Type="http://schemas.openxmlformats.org/officeDocument/2006/relationships/hyperlink" Target="https://www.google.com/maps/search/?api=1&amp;query=Wilber%20M.%20Brucker%20Hall%2C%20Fort%20Myer%2C%20Virginia%2C%20USA" TargetMode="External"/><Relationship Id="rId68" Type="http://schemas.openxmlformats.org/officeDocument/2006/relationships/hyperlink" Target="https://www.google.com/maps/search/?api=1&amp;query=42nd%20Division%20Avenue%2C%20Verdun%2C%20France%2C%20France" TargetMode="External"/><Relationship Id="rId23" Type="http://schemas.openxmlformats.org/officeDocument/2006/relationships/hyperlink" Target="http://home.army.mil/jbmhh" TargetMode="External"/><Relationship Id="rId67" Type="http://schemas.openxmlformats.org/officeDocument/2006/relationships/hyperlink" Target="https://www.google.com/maps/search/?api=1&amp;query=Painting%20%27Rainbow%20over%20France%27%2C%20Troy%2C%20New%20York%2C%20USA" TargetMode="External"/><Relationship Id="rId60" Type="http://schemas.openxmlformats.org/officeDocument/2006/relationships/hyperlink" Target="https://www.google.com/maps/search/?api=1&amp;query=Colonel%20J.%20Monroe%20Johnson%20Plaque%2C%20Marion%2C%20South%20Carolina%2C%20USA" TargetMode="External"/><Relationship Id="rId26" Type="http://schemas.openxmlformats.org/officeDocument/2006/relationships/hyperlink" Target="https://www.google.com/maps/search/?api=1&amp;query=State%20Highway%20%2342%20%27Rainbow%20Highway%27%2C%20statewide%20%28Cleveland-Cincinnati%29%2C%20Ohio%2C%20USA" TargetMode="External"/><Relationship Id="rId25" Type="http://schemas.openxmlformats.org/officeDocument/2006/relationships/hyperlink" Target="https://www.google.com/maps/search/?api=1&amp;query=Grave%20of%20Wilber%20M.%20Brucker%2C%20Arlington%2C%20Virginia%2C%20USA" TargetMode="External"/><Relationship Id="rId69" Type="http://schemas.openxmlformats.org/officeDocument/2006/relationships/hyperlink" Target="https://www.google.com/maps/search/?api=1&amp;query=Navarin%20Farm%20Monument%20%28Ossuary%29%2C%20Souain%20%2F%20Perthes-les-Hurlus%2C%20Marne%2C%20France" TargetMode="External"/><Relationship Id="rId28" Type="http://schemas.openxmlformats.org/officeDocument/2006/relationships/hyperlink" Target="https://www.google.com/maps/search/?api=1&amp;query=American%20Legion%20Rice-Ebner%20Post%20%23588%2C%20Easton%2C%20Pennsylvania%2C%20USA" TargetMode="External"/><Relationship Id="rId27" Type="http://schemas.openxmlformats.org/officeDocument/2006/relationships/hyperlink" Target="https://www.google.com/maps/search/?api=1&amp;query=Rainbow%20Memorial%20Park%2C%20Oshkosh%2C%20Wisconsin%2C%20USA" TargetMode="External"/><Relationship Id="rId29" Type="http://schemas.openxmlformats.org/officeDocument/2006/relationships/hyperlink" Target="https://www.google.com/maps/search/?api=1&amp;query=Corporal%20Floyd%20J.%20Simons%20Armory%2C%20Bethlehem%2C%20Pennsylvania%2C%20USA" TargetMode="External"/><Relationship Id="rId51" Type="http://schemas.openxmlformats.org/officeDocument/2006/relationships/hyperlink" Target="https://www.google.com/maps/search/?api=1&amp;query=Colonel%20Cooper%20D.%20Winn%2C%20Jr.%20Grave%2C%20Macon%2C%20Georgia%2C%20USA" TargetMode="External"/><Relationship Id="rId50" Type="http://schemas.openxmlformats.org/officeDocument/2006/relationships/hyperlink" Target="https://www.google.com/maps/search/?api=1&amp;query=151st%20Machine%20Gun%20Battalion%20Colors%2C%20Macon%2C%20Georgia%2C%20USA" TargetMode="External"/><Relationship Id="rId53" Type="http://schemas.openxmlformats.org/officeDocument/2006/relationships/hyperlink" Target="https://www.google.com/maps/search/?api=1&amp;query=General%20Henry%20J.%20Reilly%27s%20Library%2C%20Washington%2C%20District%20of%20Columbia%2C%20USA" TargetMode="External"/><Relationship Id="rId52" Type="http://schemas.openxmlformats.org/officeDocument/2006/relationships/hyperlink" Target="https://www.google.com/maps/search/?api=1&amp;query=General%20Charles%20P.%20Summerall%20Chapel%2C%20Charleston%2C%20South%20Carolina%2C%20USA" TargetMode="External"/><Relationship Id="rId11" Type="http://schemas.openxmlformats.org/officeDocument/2006/relationships/hyperlink" Target="https://www.google.com/maps/search/?api=1&amp;query=Joyce%20Kilmer%20Park%20and%20Memorial%2C%20Roslindale%20%2F%20Boston%2C%20Massachusetts%2C%20USA" TargetMode="External"/><Relationship Id="rId55" Type="http://schemas.openxmlformats.org/officeDocument/2006/relationships/hyperlink" Target="https://www.google.com/maps/search/?api=1&amp;query=Mendota%20Bridge%20%28dedicated%20to%20151st%20FA%29%2C%20Mendota%2C%20Minnesota%2C%20USA" TargetMode="External"/><Relationship Id="rId10" Type="http://schemas.openxmlformats.org/officeDocument/2006/relationships/hyperlink" Target="https://www.google.com/maps/search/?api=1&amp;query=Joyce%20Kilmer%20Memorial%20Grove%2C%20Pittsburgh%2C%20Pennsylvania%2C%20USA" TargetMode="External"/><Relationship Id="rId54" Type="http://schemas.openxmlformats.org/officeDocument/2006/relationships/hyperlink" Target="https://www.google.com/maps/search/?api=1&amp;query=Grave%20of%20Colonel%20George%20E.%20Leach%2C%20Minneapolis%2C%20Minnesota%2C%20USA" TargetMode="External"/><Relationship Id="rId13" Type="http://schemas.openxmlformats.org/officeDocument/2006/relationships/hyperlink" Target="https://www.google.com/maps/search/?api=1&amp;query=Joyce%20Kilmer%20School%2C%20West%20Roxbury%2C%20Massachusetts%2C%20USA" TargetMode="External"/><Relationship Id="rId57" Type="http://schemas.openxmlformats.org/officeDocument/2006/relationships/hyperlink" Target="http://minneapolismn.gov/government/mayor/contact" TargetMode="External"/><Relationship Id="rId12" Type="http://schemas.openxmlformats.org/officeDocument/2006/relationships/hyperlink" Target="https://www.google.com/maps/search/?api=1&amp;query=Joyce%20Kilmer%20American%20Legion%20Post%20%23316%2C%20Boston%2C%20Massachusetts%2C%20USA" TargetMode="External"/><Relationship Id="rId56" Type="http://schemas.openxmlformats.org/officeDocument/2006/relationships/hyperlink" Target="https://www.google.com/maps/search/?api=1&amp;query=Horse%20Watering%20Trough%20at%20the%20Peavey%20Fountain%2C%20Minneapolis%2C%20Minnesota%2C%20USA" TargetMode="External"/><Relationship Id="rId15" Type="http://schemas.openxmlformats.org/officeDocument/2006/relationships/hyperlink" Target="https://www.google.com/maps/search/?api=1&amp;query=MOH%20Sgt.%20Michael%20A.%20Donaldson%20%28citation%20at%20MOH%20Grove%29%2C%20near%20Ourcq%20%2F%20Landres%2C%20France%20%28action%29%2C%20USA" TargetMode="External"/><Relationship Id="rId59" Type="http://schemas.openxmlformats.org/officeDocument/2006/relationships/hyperlink" Target="https://www.google.com/maps/search/?api=1&amp;query=Wilber%20Wilkerson%20Monument%2C%20Fort%20Monmouth%2C%20New%20Jersey%2C%20USA" TargetMode="External"/><Relationship Id="rId14" Type="http://schemas.openxmlformats.org/officeDocument/2006/relationships/hyperlink" Target="https://www.google.com/maps/search/?api=1&amp;query=Medal%20of%20Honor%20Grove%20%26%2042nd%20Auxiliary%20Monument%20%2F%20MOH%20Plaque%2C%20Valley%20Forge%2C%20Pennsylvania%2C%20USA" TargetMode="External"/><Relationship Id="rId58" Type="http://schemas.openxmlformats.org/officeDocument/2006/relationships/hyperlink" Target="https://www.google.com/maps/search/?api=1&amp;query=Rainbow%20Plot%2C%20151st%20Field%20Artillery%20Battalion%2C%20Minneapolis%2C%20Minnesota%2C%20USA" TargetMode="External"/><Relationship Id="rId17" Type="http://schemas.openxmlformats.org/officeDocument/2006/relationships/hyperlink" Target="http://berkshiretwp.org/" TargetMode="External"/><Relationship Id="rId16" Type="http://schemas.openxmlformats.org/officeDocument/2006/relationships/hyperlink" Target="https://www.google.com/maps/search/?api=1&amp;query=MOH%20Sgt.%20Richard%20W.%20O%27Neil%20%28citation%20at%20MOH%20Grove%29%2C%20Ourcq%20River%2C%20France%20%28action%29%2C%20USA" TargetMode="External"/><Relationship Id="rId19" Type="http://schemas.openxmlformats.org/officeDocument/2006/relationships/hyperlink" Target="https://www.google.com/maps/search/?api=1&amp;query=Company%20E%2C%20166th%20Infantry%20Monument%2C%20Marysville%2C%20Ohio%2C%20USA" TargetMode="External"/><Relationship Id="rId18" Type="http://schemas.openxmlformats.org/officeDocument/2006/relationships/hyperlink" Target="https://www.google.com/maps/search/?api=1&amp;query=Monument%20and%20Grave%20of%20Colonel%20Benson%20W.%20Hough%2C%20Berkshire%2C%20Ohio%2C%20US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google.com/maps/search/?api=1&amp;query=Rainbow%20Memorial%20Amphitheater%2C%20Muskogee%2C%20Oklahoma%2C%20USA" TargetMode="External"/><Relationship Id="rId2" Type="http://schemas.openxmlformats.org/officeDocument/2006/relationships/hyperlink" Target="https://www.google.com/maps/search/?api=1&amp;query=%27Spirit%20of%20Rainbow%27%20Painting%2C%20Tulsa%2C%20Oklahoma%2C%20USA" TargetMode="External"/><Relationship Id="rId3" Type="http://schemas.openxmlformats.org/officeDocument/2006/relationships/hyperlink" Target="https://www.google.com/maps/search/?api=1&amp;query=State%20Highway%20%2351%2C%20Rainbow%20Memorial%20Highway%2C%20statewide%2C%20Oklahoma%2C%20USA" TargetMode="External"/><Relationship Id="rId4" Type="http://schemas.openxmlformats.org/officeDocument/2006/relationships/hyperlink" Target="http://arlingtoncemetery.mil/contact" TargetMode="External"/><Relationship Id="rId9" Type="http://schemas.openxmlformats.org/officeDocument/2006/relationships/hyperlink" Target="https://www.google.com/maps/search/?api=1&amp;query=Wright-Patterson%20Air%20Force%20Museum%20%28Nazi%20flag%29%2C%20Dayton%2C%20Ohio%2C%20USA" TargetMode="External"/><Relationship Id="rId5" Type="http://schemas.openxmlformats.org/officeDocument/2006/relationships/hyperlink" Target="https://www.google.com/maps/search/?api=1&amp;query=Brigadier%20General%20Henning%20Linden%20Grave%2C%20Arlington%2C%20Virginia%2C%20USA" TargetMode="External"/><Relationship Id="rId6" Type="http://schemas.openxmlformats.org/officeDocument/2006/relationships/hyperlink" Target="https://www.google.com/maps/search/?api=1&amp;query=MOH%20M%2FSgt%20Vito%20R.%20Bertoldo%20Grave%2C%20San%20Bruno%2C%20California%2C%20USA" TargetMode="External"/><Relationship Id="rId7" Type="http://schemas.openxmlformats.org/officeDocument/2006/relationships/hyperlink" Target="https://www.google.com/maps/search/?api=1&amp;query=San%20Jose%20Mayoral%20Commendation%20to%20M%2FSgt%20Bertoldo%2C%20San%20Jose%2C%20California%2C%20USA" TargetMode="External"/><Relationship Id="rId8" Type="http://schemas.openxmlformats.org/officeDocument/2006/relationships/hyperlink" Target="https://www.google.com/maps/search/?api=1&amp;query=Bernard%20Sasser%20Playground%20and%20Plaque%2C%20Detroit%2C%20Michigan%2C%20USA" TargetMode="External"/><Relationship Id="rId31" Type="http://schemas.openxmlformats.org/officeDocument/2006/relationships/hyperlink" Target="http://www.ohlungen-keffendorf.com/" TargetMode="External"/><Relationship Id="rId30" Type="http://schemas.openxmlformats.org/officeDocument/2006/relationships/hyperlink" Target="https://www.google.com/maps/search/?api=1&amp;query=Uhlwiller%20Forest-Edge%20Memorial%2C%20planned%2C%20Uhlwiller%2C%20Bas-Rhin%20%28Alsace%29%2C%20France" TargetMode="External"/><Relationship Id="rId33" Type="http://schemas.openxmlformats.org/officeDocument/2006/relationships/hyperlink" Target="https://www.google.com/maps/search/?api=1&amp;query=Gambsheim%20Liberation%20Plaque%20%2C%20Gambsheim%2C%20Bas-Rhin%20%28Alsace%29%2C%20France" TargetMode="External"/><Relationship Id="rId32" Type="http://schemas.openxmlformats.org/officeDocument/2006/relationships/hyperlink" Target="https://www.google.com/maps/search/?api=1&amp;query=Ohlungen%20Forest%20Historical%20Trail%20%2812%20panels%20%2B%202%20memorials%29%2C%20Ohlungen%2C%20Bas-Rhin%20%28Alsace%29%2C%20France" TargetMode="External"/><Relationship Id="rId34" Type="http://schemas.openxmlformats.org/officeDocument/2006/relationships/drawing" Target="../drawings/drawing3.xml"/><Relationship Id="rId20" Type="http://schemas.openxmlformats.org/officeDocument/2006/relationships/hyperlink" Target="https://www.google.com/maps/search/?api=1&amp;query=Strasbourg%20Cathedral%20Memorial%20Inscription%2C%20Strasbourg%2C%20Bas-Rhin%20%28Alsace%29%2C%20France" TargetMode="External"/><Relationship Id="rId22" Type="http://schemas.openxmlformats.org/officeDocument/2006/relationships/hyperlink" Target="https://www.google.com/maps/search/?api=1&amp;query=Ardennes%20American%20Cemetery%2C%20Neuville-en-Condroz%2C%20Liege%2C%20Belgium" TargetMode="External"/><Relationship Id="rId21" Type="http://schemas.openxmlformats.org/officeDocument/2006/relationships/hyperlink" Target="https://www.google.com/maps/search/?api=1&amp;query=Henri-Chapelle%20American%20Cemetery%2C%20Henri-Chapelle%2C%20Liege%2C%20Belgium" TargetMode="External"/><Relationship Id="rId24" Type="http://schemas.openxmlformats.org/officeDocument/2006/relationships/hyperlink" Target="https://www.google.com/maps/search/?api=1&amp;query=Lorraine%20American%20Cemetery%2C%20Saint-Avold%2C%20Moselle%2C%20France" TargetMode="External"/><Relationship Id="rId23" Type="http://schemas.openxmlformats.org/officeDocument/2006/relationships/hyperlink" Target="https://www.google.com/maps/search/?api=1&amp;query=Epinal%20American%20Cemetery%2C%20Dinoze%20%28Epinal%29%2C%20Vosges%2C%20France" TargetMode="External"/><Relationship Id="rId26" Type="http://schemas.openxmlformats.org/officeDocument/2006/relationships/hyperlink" Target="https://www.google.com/maps/search/?api=1&amp;query=Luxembourg%20American%20Cemetery%2C%20Luxembourg%20City%20%28Hamm%29%2C%20Luxembourg%2C%20Luxembourg" TargetMode="External"/><Relationship Id="rId25" Type="http://schemas.openxmlformats.org/officeDocument/2006/relationships/hyperlink" Target="https://www.google.com/maps/search/?api=1&amp;query=Rhone%20American%20Cemetery%2C%20Draguignan%2C%20Var%2C%20France" TargetMode="External"/><Relationship Id="rId28" Type="http://schemas.openxmlformats.org/officeDocument/2006/relationships/hyperlink" Target="https://www.google.com/maps/search/?api=1&amp;query=Rittershoffen%20Memorial%20%28toward%20Betschdorf%29%2C%20Rittershoffen%2C%20Bas-Rhin%20%28Alsace%29%2C%20France" TargetMode="External"/><Relationship Id="rId27" Type="http://schemas.openxmlformats.org/officeDocument/2006/relationships/hyperlink" Target="https://www.google.com/maps/search/?api=1&amp;query=Netherlands%20American%20Cemetery%2C%20Margraten%2C%20Limburg%2C%20Netherlands" TargetMode="External"/><Relationship Id="rId29" Type="http://schemas.openxmlformats.org/officeDocument/2006/relationships/hyperlink" Target="https://www.google.com/maps/search/?api=1&amp;query=Neubourg%20Memorial%20%28behind%20the%20church%29%2C%20planned%2C%20Neubourg%20%28Dauendorf%29%2C%20Bas-Rhin%20%28Alsace%29%2C%20France" TargetMode="External"/><Relationship Id="rId11" Type="http://schemas.openxmlformats.org/officeDocument/2006/relationships/hyperlink" Target="https://www.google.com/maps/search/?api=1&amp;query=Illinois%20Rainbow%20Division%20Monument%2C%20Chicago%2C%20Illinois%2C%20USA" TargetMode="External"/><Relationship Id="rId10" Type="http://schemas.openxmlformats.org/officeDocument/2006/relationships/hyperlink" Target="http://chicago.gov/city/en/depts/mayor" TargetMode="External"/><Relationship Id="rId13" Type="http://schemas.openxmlformats.org/officeDocument/2006/relationships/hyperlink" Target="https://www.google.com/maps/search/?api=1&amp;query=The%20242nd%20Infantry%20Bench%20%28Hatten-Rittershoffen%29%2C%20Hatten%2C%20Bas-Rhin%20%28Alsace%29%2C%20France" TargetMode="External"/><Relationship Id="rId12" Type="http://schemas.openxmlformats.org/officeDocument/2006/relationships/hyperlink" Target="https://www.google.com/maps/search/?api=1&amp;query=Kilstett%20Plaque%2C%20Maginot%20Line%20Bunker%2C%20Kilstett%2C%20Bas-Rhin%20%28Alsace%29%2C%20France" TargetMode="External"/><Relationship Id="rId15" Type="http://schemas.openxmlformats.org/officeDocument/2006/relationships/hyperlink" Target="https://www.google.com/maps/search/?api=1&amp;query=Dachau%20Memorial%20Plaque%2C%20Dachau%2C%20Bavaria%2C%20Germany" TargetMode="External"/><Relationship Id="rId14" Type="http://schemas.openxmlformats.org/officeDocument/2006/relationships/hyperlink" Target="https://www.google.com/maps/search/?api=1&amp;query=Artillery%20Chapter%20Plaque%2C%20Wingen-sur-Moder%2C%20Bas-Rhin%20%28Alsace%29%2C%20France" TargetMode="External"/><Relationship Id="rId17" Type="http://schemas.openxmlformats.org/officeDocument/2006/relationships/hyperlink" Target="https://www.google.com/maps/search/?api=1&amp;query=Grand%20Hotel%20%28Rainbow%20University%201945-46%29%2C%20Zell-am-See%2C%20Salzburg%2C%20Austria" TargetMode="External"/><Relationship Id="rId16" Type="http://schemas.openxmlformats.org/officeDocument/2006/relationships/hyperlink" Target="https://www.google.com/maps/search/?api=1&amp;query=Regenbogenstrasse%20%28Rainbow%20Street%29%20-%20it%20is%20now%20Schulstra%C3%9Fe%2C%20as%20of%201951%2C%20Dahn%2C%20Rhineland-Palatinate%2C%20Germany" TargetMode="External"/><Relationship Id="rId19" Type="http://schemas.openxmlformats.org/officeDocument/2006/relationships/hyperlink" Target="https://www.google.com/maps/search/?api=1&amp;query=Grave%20of%20Major%20General%20Harry%20J.%20Collins%2C%20Salzburg%2C%20Salzburg%2C%20Austria" TargetMode="External"/><Relationship Id="rId18" Type="http://schemas.openxmlformats.org/officeDocument/2006/relationships/hyperlink" Target="https://www.google.com/maps/search/?api=1&amp;query=Rainbow%20Stained%20Glass%20Window%2C%20Kitzbuehel%2C%20Tyrol%2C%20Austri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brownwoodtexas.gov/" TargetMode="External"/><Relationship Id="rId2" Type="http://schemas.openxmlformats.org/officeDocument/2006/relationships/hyperlink" Target="https://www.google.com/maps/search/?api=1&amp;query=MacArthur%20Statue%20%27The%20Student%27%2C%20Academy%20of%20Freedom%2C%20Brownwood%2C%20Texas%2C%20USA" TargetMode="External"/><Relationship Id="rId3" Type="http://schemas.openxmlformats.org/officeDocument/2006/relationships/hyperlink" Target="https://www.google.com/maps/search/?api=1&amp;query=MacArthur%20Square%20Park%2C%20Milwaukee%2C%20Wisconsin%2C%20USA" TargetMode="External"/><Relationship Id="rId4" Type="http://schemas.openxmlformats.org/officeDocument/2006/relationships/hyperlink" Target="https://www.google.com/maps/search/?api=1&amp;query=General%20MacArthur%27s%20Statue%2C%20West%20Point%2C%20New%20York%2C%20USA" TargetMode="External"/><Relationship Id="rId9" Type="http://schemas.openxmlformats.org/officeDocument/2006/relationships/hyperlink" Target="https://www.google.com/maps/search/?api=1&amp;query=Rainbow%20Plaque%2C%20Monument%20of%20Valor%2C%20Charlotte%2C%20North%20Carolina%2C%20USA" TargetMode="External"/><Relationship Id="rId5" Type="http://schemas.openxmlformats.org/officeDocument/2006/relationships/hyperlink" Target="https://www.google.com/maps/search/?api=1&amp;query=MacArthur%20Statue%2C%20MacArthur%20Park%2C%20Los%20Angeles%2C%20California%2C%20USA" TargetMode="External"/><Relationship Id="rId6" Type="http://schemas.openxmlformats.org/officeDocument/2006/relationships/hyperlink" Target="http://norfolk.gov/3515" TargetMode="External"/><Relationship Id="rId7" Type="http://schemas.openxmlformats.org/officeDocument/2006/relationships/hyperlink" Target="https://www.google.com/maps/search/?api=1&amp;query=General%20MacArthur%27s%20Memorial%20%26%20Tomb%2C%20Norfolk%2C%20Virginia%2C%20USA" TargetMode="External"/><Relationship Id="rId8" Type="http://schemas.openxmlformats.org/officeDocument/2006/relationships/hyperlink" Target="https://www.google.com/maps/search/?api=1&amp;query=Michigan%20Chapter%20Plaque%2C%20Detroit%2C%20Michigan%2C%20USA" TargetMode="External"/><Relationship Id="rId11" Type="http://schemas.openxmlformats.org/officeDocument/2006/relationships/hyperlink" Target="https://www.google.com/maps/search/?api=1&amp;query=Ceramic%20Vessels%20and%20Plaque%2C%20Kansas%20City%2C%20Missouri%2C%20USA" TargetMode="External"/><Relationship Id="rId10" Type="http://schemas.openxmlformats.org/officeDocument/2006/relationships/hyperlink" Target="https://www.google.com/maps/search/?api=1&amp;query=Reading%20Plaque%2C%20Reading%2C%20Pennsylvania%2C%20USA" TargetMode="External"/><Relationship Id="rId1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ogle.com/maps/search/?api=1&amp;query=Grave%20of%20Major%20General%20Harry%20J.%20Collins%2C%20Salzburg%2C%20Austria" TargetMode="External"/><Relationship Id="rId2" Type="http://schemas.openxmlformats.org/officeDocument/2006/relationships/hyperlink" Target="https://www.google.com/maps/search/?api=1&amp;query=Brigadier%20General%20Henning%20Linden%20Grave%2C%20Arlington%2C%20USA" TargetMode="External"/><Relationship Id="rId3" Type="http://schemas.openxmlformats.org/officeDocument/2006/relationships/hyperlink" Target="https://www.google.com/maps/search/?api=1&amp;query=General%20MacArthur%27s%20Memorial%20%26%20Tomb%2C%20Norfolk%2C%20USA" TargetMode="External"/><Relationship Id="rId4" Type="http://schemas.openxmlformats.org/officeDocument/2006/relationships/hyperlink" Target="https://www.google.com/maps/search/?api=1&amp;query=Dachau%20Memorial%20Plaque%2C%20Dachau%2C%20Germany" TargetMode="External"/><Relationship Id="rId9" Type="http://schemas.openxmlformats.org/officeDocument/2006/relationships/hyperlink" Target="https://www.google.com/maps/search/?api=1&amp;query=Illinois%20Rainbow%20Division%20Monument%2C%20Chicago%2C%20USA" TargetMode="External"/><Relationship Id="rId5" Type="http://schemas.openxmlformats.org/officeDocument/2006/relationships/hyperlink" Target="https://www.google.com/maps/search/?api=1&amp;query=Father%20Duffy%27s%20Statue%2C%20Duffy%20Square%2C%20New%20York%20City%2C%20USA" TargetMode="External"/><Relationship Id="rId6" Type="http://schemas.openxmlformats.org/officeDocument/2006/relationships/hyperlink" Target="https://www.google.com/maps/search/?api=1&amp;query=Rainbow%20Viaduct%2C%20167th%20Infantry%2C%20Birmingham%2C%20USA" TargetMode="External"/><Relationship Id="rId7" Type="http://schemas.openxmlformats.org/officeDocument/2006/relationships/hyperlink" Target="https://www.google.com/maps/search/?api=1&amp;query=Joyce%20Kilmer%20Park%20and%20Memorial%2C%20Roslindale%20%2F%20Boston%2C%20USA" TargetMode="External"/><Relationship Id="rId8" Type="http://schemas.openxmlformats.org/officeDocument/2006/relationships/hyperlink" Target="https://www.google.com/maps/search/?api=1&amp;query=Rainbow%20Memorial%20Grove%2C%20Los%20Angeles%2C%20USA" TargetMode="External"/><Relationship Id="rId31" Type="http://schemas.openxmlformats.org/officeDocument/2006/relationships/hyperlink" Target="https://www.google.com/maps/search/?api=1&amp;query=Luxembourg%20American%20Cemetery%2C%20Luxembourg%20City%20%28Hamm%29%2C%20Luxembourg" TargetMode="External"/><Relationship Id="rId30" Type="http://schemas.openxmlformats.org/officeDocument/2006/relationships/hyperlink" Target="https://www.google.com/maps/search/?api=1&amp;query=Rhone%20American%20Cemetery%2C%20Draguignan%2C%20France" TargetMode="External"/><Relationship Id="rId33" Type="http://schemas.openxmlformats.org/officeDocument/2006/relationships/drawing" Target="../drawings/drawing5.xml"/><Relationship Id="rId32" Type="http://schemas.openxmlformats.org/officeDocument/2006/relationships/hyperlink" Target="https://www.google.com/maps/search/?api=1&amp;query=Netherlands%20American%20Cemetery%2C%20Margraten%2C%20Netherlands" TargetMode="External"/><Relationship Id="rId20" Type="http://schemas.openxmlformats.org/officeDocument/2006/relationships/hyperlink" Target="https://www.google.com/maps/search/?api=1&amp;query=Aisne-Marne%20American%20Cemetery%2C%20Chateau-Thierry%20%28Belleau%29%2C%20France" TargetMode="External"/><Relationship Id="rId22" Type="http://schemas.openxmlformats.org/officeDocument/2006/relationships/hyperlink" Target="https://www.google.com/maps/search/?api=1&amp;query=Oise-Aisne%20American%20Cemetery%2C%20Fere-en-Tardenois%2C%20France" TargetMode="External"/><Relationship Id="rId21" Type="http://schemas.openxmlformats.org/officeDocument/2006/relationships/hyperlink" Target="https://www.google.com/maps/search/?api=1&amp;query=Meuse-Argonne%20American%20Cemetery%2C%20Romagne-sous-Montfaucon%2C%20France" TargetMode="External"/><Relationship Id="rId24" Type="http://schemas.openxmlformats.org/officeDocument/2006/relationships/hyperlink" Target="https://www.google.com/maps/search/?api=1&amp;query=Somme%20American%20Cemetery%2C%20Bony%2C%20France" TargetMode="External"/><Relationship Id="rId23" Type="http://schemas.openxmlformats.org/officeDocument/2006/relationships/hyperlink" Target="https://www.google.com/maps/search/?api=1&amp;query=St.%20Mihiel%20American%20Cemetery%2C%20Thiaucourt%2C%20France" TargetMode="External"/><Relationship Id="rId26" Type="http://schemas.openxmlformats.org/officeDocument/2006/relationships/hyperlink" Target="https://www.google.com/maps/search/?api=1&amp;query=Henri-Chapelle%20American%20Cemetery%2C%20Henri-Chapelle%2C%20Belgium" TargetMode="External"/><Relationship Id="rId25" Type="http://schemas.openxmlformats.org/officeDocument/2006/relationships/hyperlink" Target="https://www.google.com/maps/search/?api=1&amp;query=Suresnes%20American%20Cemetery%2C%20Suresnes%2C%20France" TargetMode="External"/><Relationship Id="rId28" Type="http://schemas.openxmlformats.org/officeDocument/2006/relationships/hyperlink" Target="https://www.google.com/maps/search/?api=1&amp;query=Epinal%20American%20Cemetery%2C%20Dinoze%20%28Epinal%29%2C%20France" TargetMode="External"/><Relationship Id="rId27" Type="http://schemas.openxmlformats.org/officeDocument/2006/relationships/hyperlink" Target="https://www.google.com/maps/search/?api=1&amp;query=Ardennes%20American%20Cemetery%2C%20Neuville-en-Condroz%2C%20Belgium" TargetMode="External"/><Relationship Id="rId29" Type="http://schemas.openxmlformats.org/officeDocument/2006/relationships/hyperlink" Target="https://www.google.com/maps/search/?api=1&amp;query=Lorraine%20American%20Cemetery%2C%20Saint-Avold%2C%20France" TargetMode="External"/><Relationship Id="rId11" Type="http://schemas.openxmlformats.org/officeDocument/2006/relationships/hyperlink" Target="https://www.google.com/maps/search/?api=1&amp;query=Mortimer%20H.%20Jordan%20Monument%2C%20Birmingham%2C%20USA" TargetMode="External"/><Relationship Id="rId10" Type="http://schemas.openxmlformats.org/officeDocument/2006/relationships/hyperlink" Target="https://www.google.com/maps/search/?api=1&amp;query=Rainbow%20Memorial%20Amphitheater%2C%20Muskogee%2C%20USA" TargetMode="External"/><Relationship Id="rId13" Type="http://schemas.openxmlformats.org/officeDocument/2006/relationships/hyperlink" Target="https://www.google.com/maps/search/?api=1&amp;query=Rosedale%20Memorial%20Arch%2C%20117th%20Ammunition%20Train%2C%20Kansas%20City%2C%20USA" TargetMode="External"/><Relationship Id="rId12" Type="http://schemas.openxmlformats.org/officeDocument/2006/relationships/hyperlink" Target="https://www.google.com/maps/search/?api=1&amp;query=Navarin%20Farm%20Monument%20%28Ossuary%29%2C%20Souain%20%2F%20Perthes-les-Hurlus%2C%20France" TargetMode="External"/><Relationship Id="rId15" Type="http://schemas.openxmlformats.org/officeDocument/2006/relationships/hyperlink" Target="https://www.google.com/maps/search/?api=1&amp;query=Medal%20of%20Honor%20Grove%20%26%2042nd%20Auxiliary%20Monument%20%2F%20MOH%20Plaque%2C%20Valley%20Forge%2C%20USA" TargetMode="External"/><Relationship Id="rId14" Type="http://schemas.openxmlformats.org/officeDocument/2006/relationships/hyperlink" Target="https://www.google.com/maps/search/?api=1&amp;query=General%20MacArthur%27s%20Statue%2C%20West%20Point%2C%20USA" TargetMode="External"/><Relationship Id="rId17" Type="http://schemas.openxmlformats.org/officeDocument/2006/relationships/hyperlink" Target="https://www.google.com/maps/search/?api=1&amp;query=Grave%20of%20William%20J.%20%27Wild%20Bill%27%20Donovan%20%28MOH%29%2C%20Arlington%2C%20USA" TargetMode="External"/><Relationship Id="rId16" Type="http://schemas.openxmlformats.org/officeDocument/2006/relationships/hyperlink" Target="https://www.google.com/maps/search/?api=1&amp;query=Rainbow%20National%20Monument%20%28Rainbow%20Division%20Monument%29%2C%20Rainbow%20Park%2C%20Garden%20City%20%28Long%20Island%29%2C%20USA" TargetMode="External"/><Relationship Id="rId19" Type="http://schemas.openxmlformats.org/officeDocument/2006/relationships/hyperlink" Target="https://www.google.com/maps/search/?api=1&amp;query=Brookwood%20American%20Cemetery%2C%20Brookwood%2C%20England" TargetMode="External"/><Relationship Id="rId18" Type="http://schemas.openxmlformats.org/officeDocument/2006/relationships/hyperlink" Target="https://www.google.com/maps/search/?api=1&amp;query=MacArthur%20Statue%20%27The%20Student%27%2C%20Academy%20of%20Freedom%2C%20Brownwood%2C%20US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10.0"/>
    <col customWidth="1" min="3" max="26" width="8.71"/>
  </cols>
  <sheetData>
    <row r="2">
      <c r="B2" s="1" t="s">
        <v>0</v>
      </c>
    </row>
    <row r="3">
      <c r="B3" s="2" t="s">
        <v>1</v>
      </c>
    </row>
    <row r="4">
      <c r="B4" s="3"/>
    </row>
    <row r="5">
      <c r="B5" s="5" t="s">
        <v>2</v>
      </c>
    </row>
    <row r="6">
      <c r="B6" s="7"/>
    </row>
    <row r="7">
      <c r="B7" s="8" t="s">
        <v>8</v>
      </c>
    </row>
    <row r="8">
      <c r="B8" s="3" t="s">
        <v>10</v>
      </c>
    </row>
    <row r="9">
      <c r="B9" s="3"/>
    </row>
    <row r="10">
      <c r="B10" s="10" t="s">
        <v>11</v>
      </c>
    </row>
    <row r="11">
      <c r="B11" s="11" t="s">
        <v>14</v>
      </c>
    </row>
    <row r="12">
      <c r="B12" s="3"/>
    </row>
    <row r="13">
      <c r="B13" s="8" t="s">
        <v>17</v>
      </c>
    </row>
    <row r="14">
      <c r="B14" s="12" t="s">
        <v>19</v>
      </c>
    </row>
    <row r="15">
      <c r="B15" s="11" t="s">
        <v>22</v>
      </c>
    </row>
    <row r="16">
      <c r="B16" s="11" t="s">
        <v>24</v>
      </c>
    </row>
    <row r="17">
      <c r="B17" s="11" t="s">
        <v>27</v>
      </c>
    </row>
    <row r="18">
      <c r="B18" s="11" t="s">
        <v>29</v>
      </c>
    </row>
    <row r="19">
      <c r="B19" s="11" t="str">
        <f>CHAR(8226)&amp;" Fulfillment Log - a running, year-over-year record of flowers ordered, sent, and confirmed for each site."</f>
        <v>• Fulfillment Log - a running, year-over-year record of flowers ordered, sent, and confirmed for each site.</v>
      </c>
    </row>
    <row r="20">
      <c r="B20" s="8" t="s">
        <v>37</v>
      </c>
    </row>
    <row r="21">
      <c r="B21" s="11" t="s">
        <v>39</v>
      </c>
    </row>
    <row r="22">
      <c r="B22" s="11"/>
    </row>
    <row r="23" ht="15.75" customHeight="1">
      <c r="B23" s="10" t="s">
        <v>41</v>
      </c>
    </row>
    <row r="24" ht="15.75" customHeight="1">
      <c r="B24" s="11" t="s">
        <v>42</v>
      </c>
    </row>
    <row r="25" ht="15.75" customHeight="1">
      <c r="B25" s="3"/>
    </row>
    <row r="26" ht="15.75" customHeight="1">
      <c r="B26" s="17"/>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hyperlinks>
    <hyperlink r:id="rId1" ref="B5"/>
  </hyperlinks>
  <printOptions/>
  <pageMargins bottom="1.0" footer="0.0" header="0.0" left="0.75" right="0.75" top="1.0"/>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15.0"/>
    <col customWidth="1" min="3" max="3" width="14.0"/>
    <col customWidth="1" min="4" max="4" width="13.0"/>
    <col customWidth="1" min="5" max="5" width="15.0"/>
    <col customWidth="1" min="6" max="6" width="16.0"/>
    <col customWidth="1" min="7" max="7" width="28.71"/>
    <col customWidth="1" min="8" max="8" width="16.0"/>
    <col customWidth="1" min="9" max="9" width="26.0"/>
    <col customWidth="1" min="10" max="10" width="17.29"/>
    <col customWidth="1" min="11" max="11" width="13.57"/>
    <col customWidth="1" min="12" max="12" width="15.86"/>
    <col customWidth="1" min="13" max="13" width="40.71"/>
    <col customWidth="1" min="14" max="14" width="22.0"/>
    <col customWidth="1" min="15" max="15" width="41.57"/>
    <col customWidth="1" hidden="1" min="16" max="16" width="24.0"/>
    <col customWidth="1" min="17" max="17" width="10.0"/>
    <col customWidth="1" min="18" max="18" width="44.0"/>
    <col customWidth="1" hidden="1" min="19" max="19" width="8.71"/>
    <col customWidth="1" min="20" max="22" width="8.71"/>
  </cols>
  <sheetData>
    <row r="1" ht="24.0" customHeight="1">
      <c r="A1" s="4" t="s">
        <v>3</v>
      </c>
    </row>
    <row r="2" ht="15.75" customHeight="1">
      <c r="A2" s="6" t="s">
        <v>5</v>
      </c>
    </row>
    <row r="3" ht="30.0" customHeight="1">
      <c r="A3" s="9" t="s">
        <v>9</v>
      </c>
      <c r="B3" s="9" t="s">
        <v>13</v>
      </c>
      <c r="C3" s="9" t="s">
        <v>15</v>
      </c>
      <c r="D3" s="9" t="s">
        <v>16</v>
      </c>
      <c r="E3" s="9" t="s">
        <v>18</v>
      </c>
      <c r="F3" s="9" t="s">
        <v>20</v>
      </c>
      <c r="G3" s="9" t="s">
        <v>21</v>
      </c>
      <c r="H3" s="9" t="s">
        <v>23</v>
      </c>
      <c r="I3" s="9" t="s">
        <v>25</v>
      </c>
      <c r="J3" s="9" t="s">
        <v>26</v>
      </c>
      <c r="K3" s="9" t="s">
        <v>28</v>
      </c>
      <c r="L3" s="9" t="s">
        <v>30</v>
      </c>
      <c r="M3" s="9" t="s">
        <v>31</v>
      </c>
      <c r="N3" s="9" t="s">
        <v>32</v>
      </c>
      <c r="O3" s="9" t="s">
        <v>33</v>
      </c>
      <c r="P3" s="9" t="s">
        <v>34</v>
      </c>
      <c r="Q3" s="9" t="s">
        <v>35</v>
      </c>
      <c r="R3" s="9" t="s">
        <v>36</v>
      </c>
      <c r="S3" s="9" t="s">
        <v>38</v>
      </c>
      <c r="T3" s="9" t="s">
        <v>40</v>
      </c>
    </row>
    <row r="4">
      <c r="A4" s="14">
        <v>1.0</v>
      </c>
      <c r="B4" s="16" t="s">
        <v>44</v>
      </c>
      <c r="C4" s="14" t="s">
        <v>45</v>
      </c>
      <c r="D4" s="16" t="s">
        <v>46</v>
      </c>
      <c r="E4" s="16" t="s">
        <v>51</v>
      </c>
      <c r="F4" s="16" t="s">
        <v>54</v>
      </c>
      <c r="G4" s="16" t="s">
        <v>58</v>
      </c>
      <c r="H4" s="16" t="s">
        <v>61</v>
      </c>
      <c r="I4" s="16" t="s">
        <v>64</v>
      </c>
      <c r="J4" s="16" t="s">
        <v>67</v>
      </c>
      <c r="K4" s="14" t="s">
        <v>68</v>
      </c>
      <c r="L4" s="16" t="s">
        <v>70</v>
      </c>
      <c r="M4" s="18" t="s">
        <v>71</v>
      </c>
      <c r="N4" s="20" t="s">
        <v>74</v>
      </c>
      <c r="O4" s="18" t="s">
        <v>77</v>
      </c>
      <c r="P4" s="16"/>
      <c r="Q4" s="14" t="s">
        <v>78</v>
      </c>
      <c r="R4" s="16" t="s">
        <v>79</v>
      </c>
      <c r="S4" s="21" t="s">
        <v>80</v>
      </c>
      <c r="T4" s="22" t="str">
        <f t="array" ref="T4:T76">IF(G4:G76="","",HYPERLINK("https://www.google.com/maps/search/?api=1&amp;query="&amp;ENCODEURL(G4:G76&amp;", "&amp;F4:F76&amp;", "&amp;E4:E76&amp;", "&amp;D4:D76),"Map"))</f>
        <v>Map</v>
      </c>
    </row>
    <row r="5">
      <c r="A5" s="14">
        <v>2.0</v>
      </c>
      <c r="B5" s="16" t="s">
        <v>44</v>
      </c>
      <c r="C5" s="14" t="s">
        <v>45</v>
      </c>
      <c r="D5" s="16" t="s">
        <v>46</v>
      </c>
      <c r="E5" s="16" t="s">
        <v>51</v>
      </c>
      <c r="F5" s="16" t="s">
        <v>89</v>
      </c>
      <c r="G5" s="16" t="s">
        <v>92</v>
      </c>
      <c r="H5" s="16" t="s">
        <v>86</v>
      </c>
      <c r="I5" s="16" t="s">
        <v>97</v>
      </c>
      <c r="J5" s="16" t="s">
        <v>99</v>
      </c>
      <c r="K5" s="14" t="s">
        <v>102</v>
      </c>
      <c r="L5" s="16" t="s">
        <v>103</v>
      </c>
      <c r="M5" s="18" t="s">
        <v>105</v>
      </c>
      <c r="N5" s="20" t="s">
        <v>107</v>
      </c>
      <c r="O5" s="18" t="s">
        <v>112</v>
      </c>
      <c r="P5" s="16"/>
      <c r="Q5" s="14" t="s">
        <v>115</v>
      </c>
      <c r="R5" s="16" t="s">
        <v>117</v>
      </c>
      <c r="S5" s="21" t="s">
        <v>118</v>
      </c>
      <c r="T5" s="22" t="s">
        <v>40</v>
      </c>
    </row>
    <row r="6">
      <c r="A6" s="13">
        <v>3.0</v>
      </c>
      <c r="B6" s="15" t="s">
        <v>43</v>
      </c>
      <c r="C6" s="13" t="s">
        <v>45</v>
      </c>
      <c r="D6" s="15" t="s">
        <v>46</v>
      </c>
      <c r="E6" s="15" t="s">
        <v>51</v>
      </c>
      <c r="F6" s="15" t="s">
        <v>89</v>
      </c>
      <c r="G6" s="15" t="s">
        <v>127</v>
      </c>
      <c r="H6" s="15" t="s">
        <v>129</v>
      </c>
      <c r="I6" s="15" t="s">
        <v>97</v>
      </c>
      <c r="J6" s="15" t="s">
        <v>133</v>
      </c>
      <c r="K6" s="13" t="s">
        <v>135</v>
      </c>
      <c r="L6" s="15" t="s">
        <v>136</v>
      </c>
      <c r="M6" s="15"/>
      <c r="N6" s="15"/>
      <c r="O6" s="15"/>
      <c r="P6" s="15"/>
      <c r="Q6" s="13" t="s">
        <v>115</v>
      </c>
      <c r="R6" s="15" t="s">
        <v>140</v>
      </c>
      <c r="T6" s="22" t="s">
        <v>40</v>
      </c>
    </row>
    <row r="7">
      <c r="A7" s="14">
        <v>4.0</v>
      </c>
      <c r="B7" s="16" t="s">
        <v>44</v>
      </c>
      <c r="C7" s="14" t="s">
        <v>45</v>
      </c>
      <c r="D7" s="16" t="s">
        <v>46</v>
      </c>
      <c r="E7" s="16" t="s">
        <v>143</v>
      </c>
      <c r="F7" s="16" t="s">
        <v>145</v>
      </c>
      <c r="G7" s="16" t="s">
        <v>147</v>
      </c>
      <c r="H7" s="16" t="s">
        <v>129</v>
      </c>
      <c r="I7" s="16" t="s">
        <v>149</v>
      </c>
      <c r="J7" s="16" t="s">
        <v>152</v>
      </c>
      <c r="K7" s="14" t="s">
        <v>155</v>
      </c>
      <c r="L7" s="16" t="s">
        <v>158</v>
      </c>
      <c r="M7" s="18" t="s">
        <v>162</v>
      </c>
      <c r="N7" s="20" t="s">
        <v>164</v>
      </c>
      <c r="O7" s="18" t="s">
        <v>169</v>
      </c>
      <c r="P7" s="16"/>
      <c r="Q7" s="14" t="s">
        <v>171</v>
      </c>
      <c r="R7" s="16" t="s">
        <v>172</v>
      </c>
      <c r="S7" s="21" t="s">
        <v>173</v>
      </c>
      <c r="T7" s="22" t="s">
        <v>40</v>
      </c>
    </row>
    <row r="8">
      <c r="A8" s="13">
        <v>5.0</v>
      </c>
      <c r="B8" s="15" t="s">
        <v>43</v>
      </c>
      <c r="C8" s="13" t="s">
        <v>45</v>
      </c>
      <c r="D8" s="15" t="s">
        <v>46</v>
      </c>
      <c r="E8" s="15" t="s">
        <v>184</v>
      </c>
      <c r="F8" s="15" t="s">
        <v>185</v>
      </c>
      <c r="G8" s="15" t="s">
        <v>189</v>
      </c>
      <c r="H8" s="15" t="s">
        <v>190</v>
      </c>
      <c r="I8" s="15" t="s">
        <v>192</v>
      </c>
      <c r="J8" s="15" t="s">
        <v>194</v>
      </c>
      <c r="K8" s="13" t="s">
        <v>196</v>
      </c>
      <c r="L8" s="15" t="s">
        <v>197</v>
      </c>
      <c r="M8" s="15"/>
      <c r="N8" s="15"/>
      <c r="O8" s="15"/>
      <c r="P8" s="15"/>
      <c r="Q8" s="13" t="s">
        <v>201</v>
      </c>
      <c r="R8" s="15" t="s">
        <v>203</v>
      </c>
      <c r="T8" s="22" t="s">
        <v>40</v>
      </c>
    </row>
    <row r="9">
      <c r="A9" s="13">
        <v>6.0</v>
      </c>
      <c r="B9" s="15" t="s">
        <v>43</v>
      </c>
      <c r="C9" s="13" t="s">
        <v>45</v>
      </c>
      <c r="D9" s="15" t="s">
        <v>46</v>
      </c>
      <c r="E9" s="15" t="s">
        <v>184</v>
      </c>
      <c r="F9" s="15" t="s">
        <v>216</v>
      </c>
      <c r="G9" s="15" t="s">
        <v>217</v>
      </c>
      <c r="H9" s="15" t="s">
        <v>218</v>
      </c>
      <c r="I9" s="15" t="s">
        <v>220</v>
      </c>
      <c r="J9" s="15" t="s">
        <v>222</v>
      </c>
      <c r="K9" s="13" t="s">
        <v>224</v>
      </c>
      <c r="L9" s="15" t="s">
        <v>226</v>
      </c>
      <c r="M9" s="15"/>
      <c r="N9" s="15"/>
      <c r="O9" s="15"/>
      <c r="P9" s="15"/>
      <c r="Q9" s="13" t="s">
        <v>233</v>
      </c>
      <c r="R9" s="15" t="s">
        <v>236</v>
      </c>
      <c r="T9" s="22" t="s">
        <v>40</v>
      </c>
    </row>
    <row r="10">
      <c r="A10" s="13">
        <v>7.0</v>
      </c>
      <c r="B10" s="15" t="s">
        <v>43</v>
      </c>
      <c r="C10" s="13" t="s">
        <v>45</v>
      </c>
      <c r="D10" s="15" t="s">
        <v>46</v>
      </c>
      <c r="E10" s="15" t="s">
        <v>243</v>
      </c>
      <c r="F10" s="15" t="s">
        <v>244</v>
      </c>
      <c r="G10" s="15" t="s">
        <v>245</v>
      </c>
      <c r="H10" s="15" t="s">
        <v>246</v>
      </c>
      <c r="I10" s="15" t="s">
        <v>220</v>
      </c>
      <c r="J10" s="15" t="s">
        <v>249</v>
      </c>
      <c r="K10" s="13" t="s">
        <v>251</v>
      </c>
      <c r="L10" s="15" t="s">
        <v>70</v>
      </c>
      <c r="M10" s="15"/>
      <c r="N10" s="15"/>
      <c r="O10" s="15"/>
      <c r="P10" s="15"/>
      <c r="Q10" s="13" t="s">
        <v>259</v>
      </c>
      <c r="R10" s="15" t="s">
        <v>261</v>
      </c>
      <c r="T10" s="22" t="s">
        <v>40</v>
      </c>
    </row>
    <row r="11">
      <c r="A11" s="13">
        <v>8.0</v>
      </c>
      <c r="B11" s="15" t="s">
        <v>43</v>
      </c>
      <c r="C11" s="13" t="s">
        <v>45</v>
      </c>
      <c r="D11" s="15" t="s">
        <v>46</v>
      </c>
      <c r="E11" s="15" t="s">
        <v>266</v>
      </c>
      <c r="F11" s="15" t="s">
        <v>267</v>
      </c>
      <c r="G11" s="15" t="s">
        <v>268</v>
      </c>
      <c r="H11" s="15" t="s">
        <v>270</v>
      </c>
      <c r="I11" s="15" t="s">
        <v>220</v>
      </c>
      <c r="J11" s="15" t="s">
        <v>273</v>
      </c>
      <c r="K11" s="13" t="s">
        <v>275</v>
      </c>
      <c r="L11" s="15" t="s">
        <v>70</v>
      </c>
      <c r="M11" s="15"/>
      <c r="N11" s="15"/>
      <c r="O11" s="15"/>
      <c r="P11" s="15"/>
      <c r="Q11" s="13" t="s">
        <v>284</v>
      </c>
      <c r="R11" s="15" t="s">
        <v>285</v>
      </c>
      <c r="T11" s="22" t="s">
        <v>40</v>
      </c>
    </row>
    <row r="12">
      <c r="A12" s="14">
        <v>9.0</v>
      </c>
      <c r="B12" s="16" t="s">
        <v>44</v>
      </c>
      <c r="C12" s="14" t="s">
        <v>45</v>
      </c>
      <c r="D12" s="16" t="s">
        <v>46</v>
      </c>
      <c r="E12" s="16" t="s">
        <v>292</v>
      </c>
      <c r="F12" s="16" t="s">
        <v>294</v>
      </c>
      <c r="G12" s="16" t="s">
        <v>296</v>
      </c>
      <c r="H12" s="16" t="s">
        <v>304</v>
      </c>
      <c r="I12" s="16" t="s">
        <v>220</v>
      </c>
      <c r="J12" s="16" t="s">
        <v>307</v>
      </c>
      <c r="K12" s="14" t="s">
        <v>308</v>
      </c>
      <c r="L12" s="16" t="s">
        <v>70</v>
      </c>
      <c r="M12" s="18" t="s">
        <v>309</v>
      </c>
      <c r="N12" s="18" t="s">
        <v>310</v>
      </c>
      <c r="O12" s="18" t="s">
        <v>312</v>
      </c>
      <c r="P12" s="16"/>
      <c r="Q12" s="14" t="s">
        <v>314</v>
      </c>
      <c r="R12" s="16" t="s">
        <v>315</v>
      </c>
      <c r="S12" s="21" t="s">
        <v>316</v>
      </c>
      <c r="T12" s="22" t="s">
        <v>40</v>
      </c>
    </row>
    <row r="13">
      <c r="A13" s="13">
        <v>10.0</v>
      </c>
      <c r="B13" s="15" t="s">
        <v>43</v>
      </c>
      <c r="C13" s="13" t="s">
        <v>45</v>
      </c>
      <c r="D13" s="15" t="s">
        <v>46</v>
      </c>
      <c r="E13" s="15" t="s">
        <v>292</v>
      </c>
      <c r="F13" s="15" t="s">
        <v>324</v>
      </c>
      <c r="G13" s="15" t="s">
        <v>326</v>
      </c>
      <c r="H13" s="15" t="s">
        <v>327</v>
      </c>
      <c r="I13" s="15" t="s">
        <v>220</v>
      </c>
      <c r="J13" s="15" t="s">
        <v>324</v>
      </c>
      <c r="K13" s="13"/>
      <c r="L13" s="15"/>
      <c r="M13" s="15"/>
      <c r="N13" s="15"/>
      <c r="O13" s="15"/>
      <c r="P13" s="15"/>
      <c r="Q13" s="13" t="s">
        <v>314</v>
      </c>
      <c r="R13" s="15"/>
      <c r="T13" s="22" t="s">
        <v>40</v>
      </c>
    </row>
    <row r="14">
      <c r="A14" s="13">
        <v>11.0</v>
      </c>
      <c r="B14" s="15" t="s">
        <v>43</v>
      </c>
      <c r="C14" s="13" t="s">
        <v>45</v>
      </c>
      <c r="D14" s="15" t="s">
        <v>46</v>
      </c>
      <c r="E14" s="15" t="s">
        <v>292</v>
      </c>
      <c r="F14" s="15" t="s">
        <v>336</v>
      </c>
      <c r="G14" s="15" t="s">
        <v>338</v>
      </c>
      <c r="H14" s="15" t="s">
        <v>340</v>
      </c>
      <c r="I14" s="15" t="s">
        <v>220</v>
      </c>
      <c r="J14" s="15" t="s">
        <v>336</v>
      </c>
      <c r="K14" s="13" t="s">
        <v>341</v>
      </c>
      <c r="L14" s="15" t="s">
        <v>70</v>
      </c>
      <c r="M14" s="15"/>
      <c r="N14" s="15"/>
      <c r="O14" s="15"/>
      <c r="P14" s="15"/>
      <c r="Q14" s="13" t="s">
        <v>314</v>
      </c>
      <c r="R14" s="15" t="s">
        <v>347</v>
      </c>
      <c r="T14" s="22" t="s">
        <v>40</v>
      </c>
    </row>
    <row r="15">
      <c r="A15" s="14">
        <v>12.0</v>
      </c>
      <c r="B15" s="16" t="s">
        <v>44</v>
      </c>
      <c r="C15" s="14" t="s">
        <v>45</v>
      </c>
      <c r="D15" s="16" t="s">
        <v>46</v>
      </c>
      <c r="E15" s="16" t="s">
        <v>266</v>
      </c>
      <c r="F15" s="16" t="s">
        <v>349</v>
      </c>
      <c r="G15" s="16" t="s">
        <v>350</v>
      </c>
      <c r="H15" s="16" t="s">
        <v>270</v>
      </c>
      <c r="I15" s="16" t="s">
        <v>351</v>
      </c>
      <c r="J15" s="16" t="s">
        <v>352</v>
      </c>
      <c r="K15" s="14" t="s">
        <v>353</v>
      </c>
      <c r="L15" s="16" t="s">
        <v>354</v>
      </c>
      <c r="M15" s="18" t="s">
        <v>355</v>
      </c>
      <c r="N15" s="18" t="s">
        <v>356</v>
      </c>
      <c r="O15" s="18" t="s">
        <v>357</v>
      </c>
      <c r="P15" s="16"/>
      <c r="Q15" s="14" t="s">
        <v>314</v>
      </c>
      <c r="R15" s="16" t="s">
        <v>361</v>
      </c>
      <c r="S15" s="21" t="s">
        <v>363</v>
      </c>
      <c r="T15" s="22" t="s">
        <v>40</v>
      </c>
    </row>
    <row r="16">
      <c r="A16" s="13">
        <v>13.0</v>
      </c>
      <c r="B16" s="15" t="s">
        <v>43</v>
      </c>
      <c r="C16" s="13" t="s">
        <v>45</v>
      </c>
      <c r="D16" s="15" t="s">
        <v>46</v>
      </c>
      <c r="E16" s="15" t="s">
        <v>373</v>
      </c>
      <c r="F16" s="15" t="s">
        <v>374</v>
      </c>
      <c r="G16" s="15" t="s">
        <v>375</v>
      </c>
      <c r="H16" s="15" t="s">
        <v>376</v>
      </c>
      <c r="I16" s="15" t="s">
        <v>377</v>
      </c>
      <c r="J16" s="15" t="s">
        <v>378</v>
      </c>
      <c r="K16" s="13" t="s">
        <v>379</v>
      </c>
      <c r="L16" s="15" t="s">
        <v>381</v>
      </c>
      <c r="M16" s="15"/>
      <c r="N16" s="15"/>
      <c r="O16" s="15"/>
      <c r="P16" s="15"/>
      <c r="Q16" s="13" t="s">
        <v>386</v>
      </c>
      <c r="R16" s="15" t="s">
        <v>389</v>
      </c>
      <c r="T16" s="22" t="s">
        <v>40</v>
      </c>
    </row>
    <row r="17">
      <c r="A17" s="13">
        <v>14.0</v>
      </c>
      <c r="B17" s="15" t="s">
        <v>43</v>
      </c>
      <c r="C17" s="13" t="s">
        <v>45</v>
      </c>
      <c r="D17" s="15" t="s">
        <v>46</v>
      </c>
      <c r="E17" s="15" t="s">
        <v>373</v>
      </c>
      <c r="F17" s="15" t="s">
        <v>397</v>
      </c>
      <c r="G17" s="15" t="s">
        <v>399</v>
      </c>
      <c r="H17" s="15" t="s">
        <v>376</v>
      </c>
      <c r="I17" s="15" t="s">
        <v>401</v>
      </c>
      <c r="J17" s="15" t="s">
        <v>378</v>
      </c>
      <c r="K17" s="13" t="s">
        <v>224</v>
      </c>
      <c r="L17" s="15" t="s">
        <v>381</v>
      </c>
      <c r="M17" s="15"/>
      <c r="N17" s="15"/>
      <c r="O17" s="15"/>
      <c r="P17" s="15"/>
      <c r="Q17" s="13" t="s">
        <v>386</v>
      </c>
      <c r="R17" s="15" t="s">
        <v>407</v>
      </c>
      <c r="T17" s="22" t="s">
        <v>40</v>
      </c>
    </row>
    <row r="18">
      <c r="A18" s="14">
        <v>15.0</v>
      </c>
      <c r="B18" s="16" t="s">
        <v>44</v>
      </c>
      <c r="C18" s="14" t="s">
        <v>45</v>
      </c>
      <c r="D18" s="16" t="s">
        <v>46</v>
      </c>
      <c r="E18" s="16" t="s">
        <v>300</v>
      </c>
      <c r="F18" s="16" t="s">
        <v>415</v>
      </c>
      <c r="G18" s="16" t="s">
        <v>416</v>
      </c>
      <c r="H18" s="16" t="s">
        <v>417</v>
      </c>
      <c r="I18" s="16" t="s">
        <v>418</v>
      </c>
      <c r="J18" s="16" t="s">
        <v>419</v>
      </c>
      <c r="K18" s="14" t="s">
        <v>421</v>
      </c>
      <c r="L18" s="16" t="s">
        <v>422</v>
      </c>
      <c r="M18" s="18" t="s">
        <v>423</v>
      </c>
      <c r="N18" s="20" t="s">
        <v>424</v>
      </c>
      <c r="O18" s="18" t="s">
        <v>425</v>
      </c>
      <c r="P18" s="16"/>
      <c r="Q18" s="14" t="s">
        <v>426</v>
      </c>
      <c r="R18" s="16" t="s">
        <v>427</v>
      </c>
      <c r="T18" s="22" t="s">
        <v>40</v>
      </c>
    </row>
    <row r="19">
      <c r="A19" s="13">
        <v>16.0</v>
      </c>
      <c r="B19" s="15" t="s">
        <v>43</v>
      </c>
      <c r="C19" s="13" t="s">
        <v>45</v>
      </c>
      <c r="D19" s="15" t="s">
        <v>46</v>
      </c>
      <c r="E19" s="15" t="s">
        <v>300</v>
      </c>
      <c r="F19" s="15" t="s">
        <v>436</v>
      </c>
      <c r="G19" s="15" t="s">
        <v>438</v>
      </c>
      <c r="H19" s="15" t="s">
        <v>61</v>
      </c>
      <c r="I19" s="15" t="s">
        <v>440</v>
      </c>
      <c r="J19" s="15" t="s">
        <v>441</v>
      </c>
      <c r="K19" s="13"/>
      <c r="L19" s="15"/>
      <c r="M19" s="15"/>
      <c r="N19" s="15"/>
      <c r="O19" s="15"/>
      <c r="P19" s="15"/>
      <c r="Q19" s="13" t="s">
        <v>442</v>
      </c>
      <c r="R19" s="15" t="s">
        <v>443</v>
      </c>
      <c r="T19" s="22" t="s">
        <v>40</v>
      </c>
    </row>
    <row r="20">
      <c r="A20" s="13">
        <v>17.0</v>
      </c>
      <c r="B20" s="15" t="s">
        <v>43</v>
      </c>
      <c r="C20" s="13" t="s">
        <v>45</v>
      </c>
      <c r="D20" s="15" t="s">
        <v>46</v>
      </c>
      <c r="E20" s="15" t="s">
        <v>300</v>
      </c>
      <c r="F20" s="15" t="s">
        <v>449</v>
      </c>
      <c r="G20" s="15" t="s">
        <v>451</v>
      </c>
      <c r="H20" s="15" t="s">
        <v>453</v>
      </c>
      <c r="I20" s="15" t="s">
        <v>454</v>
      </c>
      <c r="J20" s="15" t="s">
        <v>455</v>
      </c>
      <c r="K20" s="13" t="s">
        <v>456</v>
      </c>
      <c r="L20" s="15" t="s">
        <v>457</v>
      </c>
      <c r="M20" s="15"/>
      <c r="N20" s="15"/>
      <c r="O20" s="15"/>
      <c r="P20" s="15"/>
      <c r="Q20" s="13" t="s">
        <v>442</v>
      </c>
      <c r="R20" s="15" t="s">
        <v>458</v>
      </c>
      <c r="T20" s="22" t="s">
        <v>40</v>
      </c>
    </row>
    <row r="21" ht="15.75" customHeight="1">
      <c r="A21" s="13">
        <v>18.0</v>
      </c>
      <c r="B21" s="15" t="s">
        <v>43</v>
      </c>
      <c r="C21" s="13" t="s">
        <v>45</v>
      </c>
      <c r="D21" s="15" t="s">
        <v>46</v>
      </c>
      <c r="E21" s="15" t="s">
        <v>300</v>
      </c>
      <c r="F21" s="15" t="s">
        <v>465</v>
      </c>
      <c r="G21" s="15" t="s">
        <v>468</v>
      </c>
      <c r="H21" s="15" t="s">
        <v>61</v>
      </c>
      <c r="I21" s="15" t="s">
        <v>471</v>
      </c>
      <c r="J21" s="15" t="s">
        <v>465</v>
      </c>
      <c r="K21" s="13" t="s">
        <v>472</v>
      </c>
      <c r="L21" s="15" t="s">
        <v>473</v>
      </c>
      <c r="M21" s="15"/>
      <c r="N21" s="15"/>
      <c r="O21" s="15"/>
      <c r="P21" s="15"/>
      <c r="Q21" s="13" t="s">
        <v>474</v>
      </c>
      <c r="R21" s="15" t="s">
        <v>475</v>
      </c>
      <c r="T21" s="22" t="s">
        <v>40</v>
      </c>
    </row>
    <row r="22" ht="15.75" customHeight="1">
      <c r="A22" s="13">
        <v>19.0</v>
      </c>
      <c r="B22" s="15" t="s">
        <v>43</v>
      </c>
      <c r="C22" s="13" t="s">
        <v>45</v>
      </c>
      <c r="D22" s="15" t="s">
        <v>46</v>
      </c>
      <c r="E22" s="15" t="s">
        <v>143</v>
      </c>
      <c r="F22" s="15" t="s">
        <v>145</v>
      </c>
      <c r="G22" s="15" t="s">
        <v>485</v>
      </c>
      <c r="H22" s="15" t="s">
        <v>129</v>
      </c>
      <c r="I22" s="15" t="s">
        <v>486</v>
      </c>
      <c r="J22" s="15" t="s">
        <v>187</v>
      </c>
      <c r="K22" s="13" t="s">
        <v>487</v>
      </c>
      <c r="L22" s="15" t="s">
        <v>488</v>
      </c>
      <c r="M22" s="15"/>
      <c r="N22" s="15"/>
      <c r="O22" s="15"/>
      <c r="P22" s="15"/>
      <c r="Q22" s="13" t="s">
        <v>489</v>
      </c>
      <c r="R22" s="15" t="s">
        <v>490</v>
      </c>
      <c r="T22" s="22" t="s">
        <v>40</v>
      </c>
    </row>
    <row r="23" ht="15.75" customHeight="1">
      <c r="A23" s="14">
        <v>20.0</v>
      </c>
      <c r="B23" s="16" t="s">
        <v>44</v>
      </c>
      <c r="C23" s="14" t="s">
        <v>45</v>
      </c>
      <c r="D23" s="16" t="s">
        <v>46</v>
      </c>
      <c r="E23" s="16" t="s">
        <v>143</v>
      </c>
      <c r="F23" s="16" t="s">
        <v>500</v>
      </c>
      <c r="G23" s="16" t="s">
        <v>501</v>
      </c>
      <c r="H23" s="16" t="s">
        <v>432</v>
      </c>
      <c r="I23" s="16" t="s">
        <v>503</v>
      </c>
      <c r="J23" s="16" t="s">
        <v>500</v>
      </c>
      <c r="K23" s="14" t="s">
        <v>504</v>
      </c>
      <c r="L23" s="16" t="s">
        <v>70</v>
      </c>
      <c r="M23" s="18" t="s">
        <v>505</v>
      </c>
      <c r="N23" s="20" t="s">
        <v>506</v>
      </c>
      <c r="O23" s="18" t="s">
        <v>205</v>
      </c>
      <c r="P23" s="16"/>
      <c r="Q23" s="14" t="s">
        <v>489</v>
      </c>
      <c r="R23" s="16"/>
      <c r="T23" s="22" t="s">
        <v>40</v>
      </c>
    </row>
    <row r="24" ht="15.75" customHeight="1">
      <c r="A24" s="13">
        <v>21.0</v>
      </c>
      <c r="B24" s="15" t="s">
        <v>43</v>
      </c>
      <c r="C24" s="13" t="s">
        <v>45</v>
      </c>
      <c r="D24" s="15" t="s">
        <v>46</v>
      </c>
      <c r="E24" s="15" t="s">
        <v>143</v>
      </c>
      <c r="F24" s="15" t="s">
        <v>145</v>
      </c>
      <c r="G24" s="15" t="s">
        <v>522</v>
      </c>
      <c r="H24" s="15" t="s">
        <v>129</v>
      </c>
      <c r="I24" s="15" t="s">
        <v>524</v>
      </c>
      <c r="J24" s="15" t="s">
        <v>187</v>
      </c>
      <c r="K24" s="13" t="s">
        <v>525</v>
      </c>
      <c r="L24" s="15" t="s">
        <v>488</v>
      </c>
      <c r="M24" s="15"/>
      <c r="N24" s="15"/>
      <c r="O24" s="15"/>
      <c r="P24" s="15"/>
      <c r="Q24" s="13" t="s">
        <v>489</v>
      </c>
      <c r="R24" s="15"/>
      <c r="T24" s="22" t="s">
        <v>40</v>
      </c>
    </row>
    <row r="25" ht="15.75" customHeight="1">
      <c r="A25" s="13">
        <v>22.0</v>
      </c>
      <c r="B25" s="15" t="s">
        <v>43</v>
      </c>
      <c r="C25" s="13" t="s">
        <v>45</v>
      </c>
      <c r="D25" s="15" t="s">
        <v>46</v>
      </c>
      <c r="E25" s="15" t="s">
        <v>300</v>
      </c>
      <c r="F25" s="15" t="s">
        <v>535</v>
      </c>
      <c r="G25" s="15" t="s">
        <v>536</v>
      </c>
      <c r="H25" s="15" t="s">
        <v>157</v>
      </c>
      <c r="I25" s="15" t="s">
        <v>160</v>
      </c>
      <c r="J25" s="15" t="s">
        <v>537</v>
      </c>
      <c r="K25" s="13" t="s">
        <v>538</v>
      </c>
      <c r="L25" s="15" t="s">
        <v>70</v>
      </c>
      <c r="M25" s="15"/>
      <c r="N25" s="15"/>
      <c r="O25" s="15"/>
      <c r="P25" s="15"/>
      <c r="Q25" s="13" t="s">
        <v>541</v>
      </c>
      <c r="R25" s="15"/>
      <c r="T25" s="22" t="s">
        <v>40</v>
      </c>
    </row>
    <row r="26" ht="15.75" customHeight="1">
      <c r="A26" s="13">
        <v>23.0</v>
      </c>
      <c r="B26" s="15" t="s">
        <v>43</v>
      </c>
      <c r="C26" s="13" t="s">
        <v>45</v>
      </c>
      <c r="D26" s="15" t="s">
        <v>46</v>
      </c>
      <c r="E26" s="15" t="s">
        <v>120</v>
      </c>
      <c r="F26" s="15" t="s">
        <v>549</v>
      </c>
      <c r="G26" s="15" t="s">
        <v>550</v>
      </c>
      <c r="H26" s="15" t="s">
        <v>551</v>
      </c>
      <c r="I26" s="15" t="s">
        <v>552</v>
      </c>
      <c r="J26" s="15" t="s">
        <v>549</v>
      </c>
      <c r="K26" s="13" t="s">
        <v>553</v>
      </c>
      <c r="L26" s="15" t="s">
        <v>554</v>
      </c>
      <c r="M26" s="15"/>
      <c r="N26" s="15"/>
      <c r="O26" s="15"/>
      <c r="P26" s="15"/>
      <c r="Q26" s="13" t="s">
        <v>541</v>
      </c>
      <c r="R26" s="15" t="s">
        <v>558</v>
      </c>
      <c r="T26" s="22" t="s">
        <v>40</v>
      </c>
    </row>
    <row r="27" ht="15.75" customHeight="1">
      <c r="A27" s="13">
        <v>24.0</v>
      </c>
      <c r="B27" s="15" t="s">
        <v>43</v>
      </c>
      <c r="C27" s="13" t="s">
        <v>45</v>
      </c>
      <c r="D27" s="15" t="s">
        <v>46</v>
      </c>
      <c r="E27" s="15" t="s">
        <v>266</v>
      </c>
      <c r="F27" s="15" t="s">
        <v>563</v>
      </c>
      <c r="G27" s="15" t="s">
        <v>564</v>
      </c>
      <c r="H27" s="15" t="s">
        <v>565</v>
      </c>
      <c r="I27" s="15" t="s">
        <v>566</v>
      </c>
      <c r="J27" s="15" t="s">
        <v>568</v>
      </c>
      <c r="K27" s="13"/>
      <c r="L27" s="15"/>
      <c r="M27" s="15"/>
      <c r="N27" s="15"/>
      <c r="O27" s="15"/>
      <c r="P27" s="15"/>
      <c r="Q27" s="13" t="s">
        <v>571</v>
      </c>
      <c r="R27" s="15" t="s">
        <v>572</v>
      </c>
      <c r="T27" s="22" t="s">
        <v>40</v>
      </c>
    </row>
    <row r="28" ht="15.75" customHeight="1">
      <c r="A28" s="13">
        <v>25.0</v>
      </c>
      <c r="B28" s="15" t="s">
        <v>43</v>
      </c>
      <c r="C28" s="13" t="s">
        <v>45</v>
      </c>
      <c r="D28" s="15" t="s">
        <v>46</v>
      </c>
      <c r="E28" s="15" t="s">
        <v>266</v>
      </c>
      <c r="F28" s="15" t="s">
        <v>580</v>
      </c>
      <c r="G28" s="15" t="s">
        <v>581</v>
      </c>
      <c r="H28" s="15" t="s">
        <v>582</v>
      </c>
      <c r="I28" s="15" t="s">
        <v>584</v>
      </c>
      <c r="J28" s="15" t="s">
        <v>585</v>
      </c>
      <c r="K28" s="13" t="s">
        <v>587</v>
      </c>
      <c r="L28" s="15" t="s">
        <v>589</v>
      </c>
      <c r="M28" s="15"/>
      <c r="N28" s="15"/>
      <c r="O28" s="15"/>
      <c r="P28" s="15"/>
      <c r="Q28" s="13" t="s">
        <v>591</v>
      </c>
      <c r="R28" s="15" t="s">
        <v>592</v>
      </c>
      <c r="T28" s="22" t="s">
        <v>40</v>
      </c>
    </row>
    <row r="29" ht="15.75" customHeight="1">
      <c r="A29" s="13">
        <v>26.0</v>
      </c>
      <c r="B29" s="15" t="s">
        <v>43</v>
      </c>
      <c r="C29" s="13" t="s">
        <v>45</v>
      </c>
      <c r="D29" s="15" t="s">
        <v>46</v>
      </c>
      <c r="E29" s="15" t="s">
        <v>601</v>
      </c>
      <c r="F29" s="15" t="s">
        <v>602</v>
      </c>
      <c r="G29" s="15" t="s">
        <v>603</v>
      </c>
      <c r="H29" s="15" t="s">
        <v>605</v>
      </c>
      <c r="I29" s="15" t="s">
        <v>606</v>
      </c>
      <c r="J29" s="15" t="s">
        <v>607</v>
      </c>
      <c r="K29" s="13"/>
      <c r="L29" s="15"/>
      <c r="M29" s="15"/>
      <c r="N29" s="15"/>
      <c r="O29" s="15"/>
      <c r="P29" s="15"/>
      <c r="Q29" s="13" t="s">
        <v>608</v>
      </c>
      <c r="R29" s="15" t="s">
        <v>609</v>
      </c>
      <c r="T29" s="22" t="s">
        <v>40</v>
      </c>
    </row>
    <row r="30" ht="15.75" customHeight="1">
      <c r="A30" s="13">
        <v>27.0</v>
      </c>
      <c r="B30" s="15" t="s">
        <v>43</v>
      </c>
      <c r="C30" s="13" t="s">
        <v>45</v>
      </c>
      <c r="D30" s="15" t="s">
        <v>46</v>
      </c>
      <c r="E30" s="15" t="s">
        <v>601</v>
      </c>
      <c r="F30" s="15" t="s">
        <v>620</v>
      </c>
      <c r="G30" s="15" t="s">
        <v>621</v>
      </c>
      <c r="H30" s="15" t="s">
        <v>622</v>
      </c>
      <c r="I30" s="15" t="s">
        <v>623</v>
      </c>
      <c r="J30" s="15" t="s">
        <v>624</v>
      </c>
      <c r="K30" s="13" t="s">
        <v>625</v>
      </c>
      <c r="L30" s="15" t="s">
        <v>627</v>
      </c>
      <c r="M30" s="15"/>
      <c r="N30" s="15"/>
      <c r="O30" s="15"/>
      <c r="P30" s="15"/>
      <c r="Q30" s="13" t="s">
        <v>633</v>
      </c>
      <c r="R30" s="15" t="s">
        <v>635</v>
      </c>
      <c r="T30" s="22" t="s">
        <v>40</v>
      </c>
    </row>
    <row r="31" ht="15.75" customHeight="1">
      <c r="A31" s="14">
        <v>28.0</v>
      </c>
      <c r="B31" s="16" t="s">
        <v>44</v>
      </c>
      <c r="C31" s="14" t="s">
        <v>45</v>
      </c>
      <c r="D31" s="16" t="s">
        <v>46</v>
      </c>
      <c r="E31" s="16" t="s">
        <v>601</v>
      </c>
      <c r="F31" s="16" t="s">
        <v>643</v>
      </c>
      <c r="G31" s="16" t="s">
        <v>645</v>
      </c>
      <c r="H31" s="16" t="s">
        <v>646</v>
      </c>
      <c r="I31" s="16" t="s">
        <v>647</v>
      </c>
      <c r="J31" s="16" t="s">
        <v>648</v>
      </c>
      <c r="K31" s="14" t="s">
        <v>649</v>
      </c>
      <c r="L31" s="16" t="s">
        <v>650</v>
      </c>
      <c r="M31" s="18" t="s">
        <v>651</v>
      </c>
      <c r="N31" s="18" t="s">
        <v>652</v>
      </c>
      <c r="O31" s="18" t="s">
        <v>653</v>
      </c>
      <c r="P31" s="16"/>
      <c r="Q31" s="14" t="s">
        <v>654</v>
      </c>
      <c r="R31" s="16" t="s">
        <v>655</v>
      </c>
      <c r="S31" s="21" t="s">
        <v>656</v>
      </c>
      <c r="T31" s="22" t="s">
        <v>40</v>
      </c>
    </row>
    <row r="32" ht="15.75" customHeight="1">
      <c r="A32" s="14">
        <v>29.0</v>
      </c>
      <c r="B32" s="16" t="s">
        <v>44</v>
      </c>
      <c r="C32" s="14" t="s">
        <v>45</v>
      </c>
      <c r="D32" s="16" t="s">
        <v>46</v>
      </c>
      <c r="E32" s="16" t="s">
        <v>601</v>
      </c>
      <c r="F32" s="16" t="s">
        <v>643</v>
      </c>
      <c r="G32" s="16" t="s">
        <v>659</v>
      </c>
      <c r="H32" s="16" t="s">
        <v>61</v>
      </c>
      <c r="I32" s="16" t="s">
        <v>664</v>
      </c>
      <c r="J32" s="16" t="s">
        <v>666</v>
      </c>
      <c r="K32" s="14" t="s">
        <v>667</v>
      </c>
      <c r="L32" s="16" t="s">
        <v>668</v>
      </c>
      <c r="M32" s="18" t="s">
        <v>670</v>
      </c>
      <c r="N32" s="20" t="s">
        <v>671</v>
      </c>
      <c r="O32" s="18" t="s">
        <v>672</v>
      </c>
      <c r="P32" s="16"/>
      <c r="Q32" s="14" t="s">
        <v>673</v>
      </c>
      <c r="R32" s="16" t="s">
        <v>674</v>
      </c>
      <c r="S32" s="21" t="s">
        <v>675</v>
      </c>
      <c r="T32" s="22" t="s">
        <v>40</v>
      </c>
    </row>
    <row r="33" ht="15.75" customHeight="1">
      <c r="A33" s="13">
        <v>30.0</v>
      </c>
      <c r="B33" s="15" t="s">
        <v>43</v>
      </c>
      <c r="C33" s="13" t="s">
        <v>45</v>
      </c>
      <c r="D33" s="15" t="s">
        <v>46</v>
      </c>
      <c r="E33" s="15" t="s">
        <v>676</v>
      </c>
      <c r="F33" s="15" t="s">
        <v>677</v>
      </c>
      <c r="G33" s="15" t="s">
        <v>678</v>
      </c>
      <c r="H33" s="15" t="s">
        <v>376</v>
      </c>
      <c r="I33" s="15" t="s">
        <v>679</v>
      </c>
      <c r="J33" s="15" t="s">
        <v>680</v>
      </c>
      <c r="K33" s="49">
        <v>6864.0</v>
      </c>
      <c r="L33" s="15" t="s">
        <v>381</v>
      </c>
      <c r="M33" s="15"/>
      <c r="N33" s="15"/>
      <c r="O33" s="15"/>
      <c r="P33" s="15"/>
      <c r="Q33" s="13" t="s">
        <v>681</v>
      </c>
      <c r="R33" s="29" t="s">
        <v>682</v>
      </c>
      <c r="T33" s="22" t="s">
        <v>40</v>
      </c>
    </row>
    <row r="34" ht="15.75" customHeight="1">
      <c r="A34" s="13">
        <v>31.0</v>
      </c>
      <c r="B34" s="15" t="s">
        <v>43</v>
      </c>
      <c r="C34" s="13" t="s">
        <v>45</v>
      </c>
      <c r="D34" s="15" t="s">
        <v>46</v>
      </c>
      <c r="E34" s="15" t="s">
        <v>683</v>
      </c>
      <c r="F34" s="15" t="s">
        <v>684</v>
      </c>
      <c r="G34" s="15" t="s">
        <v>685</v>
      </c>
      <c r="H34" s="15" t="s">
        <v>129</v>
      </c>
      <c r="I34" s="15" t="s">
        <v>686</v>
      </c>
      <c r="J34" s="15" t="s">
        <v>687</v>
      </c>
      <c r="K34" s="13" t="s">
        <v>688</v>
      </c>
      <c r="L34" s="15" t="s">
        <v>488</v>
      </c>
      <c r="M34" s="15"/>
      <c r="N34" s="15"/>
      <c r="O34" s="15"/>
      <c r="P34" s="15"/>
      <c r="Q34" s="13" t="s">
        <v>673</v>
      </c>
      <c r="R34" s="15"/>
      <c r="T34" s="22" t="s">
        <v>40</v>
      </c>
    </row>
    <row r="35" ht="15.75" customHeight="1">
      <c r="A35" s="13">
        <v>32.0</v>
      </c>
      <c r="B35" s="15" t="s">
        <v>43</v>
      </c>
      <c r="C35" s="13" t="s">
        <v>45</v>
      </c>
      <c r="D35" s="15" t="s">
        <v>46</v>
      </c>
      <c r="E35" s="15" t="s">
        <v>683</v>
      </c>
      <c r="F35" s="15" t="s">
        <v>689</v>
      </c>
      <c r="G35" s="15" t="s">
        <v>690</v>
      </c>
      <c r="H35" s="15" t="s">
        <v>691</v>
      </c>
      <c r="I35" s="15" t="s">
        <v>692</v>
      </c>
      <c r="J35" s="15" t="s">
        <v>689</v>
      </c>
      <c r="K35" s="13"/>
      <c r="L35" s="15"/>
      <c r="M35" s="15"/>
      <c r="N35" s="15"/>
      <c r="O35" s="15"/>
      <c r="P35" s="15"/>
      <c r="Q35" s="13" t="s">
        <v>673</v>
      </c>
      <c r="R35" s="15"/>
      <c r="T35" s="22" t="s">
        <v>40</v>
      </c>
    </row>
    <row r="36" ht="15.75" customHeight="1">
      <c r="A36" s="13">
        <v>33.0</v>
      </c>
      <c r="B36" s="15" t="s">
        <v>43</v>
      </c>
      <c r="C36" s="13" t="s">
        <v>45</v>
      </c>
      <c r="D36" s="15" t="s">
        <v>46</v>
      </c>
      <c r="E36" s="15" t="s">
        <v>683</v>
      </c>
      <c r="F36" s="15" t="s">
        <v>689</v>
      </c>
      <c r="G36" s="15" t="s">
        <v>693</v>
      </c>
      <c r="H36" s="15" t="s">
        <v>694</v>
      </c>
      <c r="I36" s="15" t="s">
        <v>695</v>
      </c>
      <c r="J36" s="15" t="s">
        <v>689</v>
      </c>
      <c r="K36" s="13"/>
      <c r="L36" s="15"/>
      <c r="M36" s="15"/>
      <c r="N36" s="15"/>
      <c r="O36" s="15"/>
      <c r="P36" s="15"/>
      <c r="Q36" s="13" t="s">
        <v>696</v>
      </c>
      <c r="R36" s="15"/>
      <c r="T36" s="22" t="s">
        <v>40</v>
      </c>
    </row>
    <row r="37" ht="15.75" customHeight="1">
      <c r="A37" s="13">
        <v>34.0</v>
      </c>
      <c r="B37" s="15" t="s">
        <v>43</v>
      </c>
      <c r="C37" s="13" t="s">
        <v>45</v>
      </c>
      <c r="D37" s="15" t="s">
        <v>46</v>
      </c>
      <c r="E37" s="15" t="s">
        <v>683</v>
      </c>
      <c r="F37" s="15" t="s">
        <v>689</v>
      </c>
      <c r="G37" s="15" t="s">
        <v>697</v>
      </c>
      <c r="H37" s="15" t="s">
        <v>694</v>
      </c>
      <c r="I37" s="15" t="s">
        <v>698</v>
      </c>
      <c r="J37" s="15" t="s">
        <v>689</v>
      </c>
      <c r="K37" s="13"/>
      <c r="L37" s="15"/>
      <c r="M37" s="15"/>
      <c r="N37" s="15"/>
      <c r="O37" s="15"/>
      <c r="P37" s="15"/>
      <c r="Q37" s="13" t="s">
        <v>696</v>
      </c>
      <c r="R37" s="15"/>
      <c r="T37" s="22" t="s">
        <v>40</v>
      </c>
    </row>
    <row r="38" ht="15.75" customHeight="1">
      <c r="A38" s="13">
        <v>35.0</v>
      </c>
      <c r="B38" s="15" t="s">
        <v>43</v>
      </c>
      <c r="C38" s="13" t="s">
        <v>45</v>
      </c>
      <c r="D38" s="15" t="s">
        <v>46</v>
      </c>
      <c r="E38" s="15" t="s">
        <v>683</v>
      </c>
      <c r="F38" s="15" t="s">
        <v>689</v>
      </c>
      <c r="G38" s="15" t="s">
        <v>699</v>
      </c>
      <c r="H38" s="15" t="s">
        <v>234</v>
      </c>
      <c r="I38" s="15" t="s">
        <v>700</v>
      </c>
      <c r="J38" s="15" t="s">
        <v>701</v>
      </c>
      <c r="K38" s="13"/>
      <c r="L38" s="15"/>
      <c r="M38" s="15"/>
      <c r="N38" s="15"/>
      <c r="O38" s="15"/>
      <c r="P38" s="15"/>
      <c r="Q38" s="13" t="s">
        <v>696</v>
      </c>
      <c r="R38" s="15"/>
      <c r="T38" s="22" t="s">
        <v>40</v>
      </c>
    </row>
    <row r="39" ht="15.75" customHeight="1">
      <c r="A39" s="13">
        <v>36.0</v>
      </c>
      <c r="B39" s="15" t="s">
        <v>43</v>
      </c>
      <c r="C39" s="13" t="s">
        <v>45</v>
      </c>
      <c r="D39" s="15" t="s">
        <v>46</v>
      </c>
      <c r="E39" s="15" t="s">
        <v>683</v>
      </c>
      <c r="F39" s="15" t="s">
        <v>689</v>
      </c>
      <c r="G39" s="15" t="s">
        <v>702</v>
      </c>
      <c r="H39" s="15" t="s">
        <v>411</v>
      </c>
      <c r="I39" s="15" t="s">
        <v>703</v>
      </c>
      <c r="J39" s="15" t="s">
        <v>689</v>
      </c>
      <c r="K39" s="13"/>
      <c r="L39" s="15"/>
      <c r="M39" s="15"/>
      <c r="N39" s="15"/>
      <c r="O39" s="15"/>
      <c r="P39" s="15"/>
      <c r="Q39" s="13" t="s">
        <v>696</v>
      </c>
      <c r="R39" s="15"/>
      <c r="T39" s="22" t="s">
        <v>40</v>
      </c>
    </row>
    <row r="40" ht="15.75" customHeight="1">
      <c r="A40" s="13">
        <v>37.0</v>
      </c>
      <c r="B40" s="15" t="s">
        <v>43</v>
      </c>
      <c r="C40" s="13" t="s">
        <v>45</v>
      </c>
      <c r="D40" s="15" t="s">
        <v>46</v>
      </c>
      <c r="E40" s="15" t="s">
        <v>683</v>
      </c>
      <c r="F40" s="15" t="s">
        <v>689</v>
      </c>
      <c r="G40" s="15" t="s">
        <v>704</v>
      </c>
      <c r="H40" s="15" t="s">
        <v>694</v>
      </c>
      <c r="I40" s="15" t="s">
        <v>705</v>
      </c>
      <c r="J40" s="15" t="s">
        <v>689</v>
      </c>
      <c r="K40" s="13" t="s">
        <v>706</v>
      </c>
      <c r="L40" s="15" t="s">
        <v>707</v>
      </c>
      <c r="M40" s="15"/>
      <c r="N40" s="15"/>
      <c r="O40" s="15"/>
      <c r="P40" s="15"/>
      <c r="Q40" s="13" t="s">
        <v>696</v>
      </c>
      <c r="R40" s="15" t="s">
        <v>708</v>
      </c>
      <c r="T40" s="22" t="s">
        <v>40</v>
      </c>
    </row>
    <row r="41" ht="15.75" customHeight="1">
      <c r="A41" s="13">
        <v>38.0</v>
      </c>
      <c r="B41" s="15" t="s">
        <v>43</v>
      </c>
      <c r="C41" s="13" t="s">
        <v>45</v>
      </c>
      <c r="D41" s="15" t="s">
        <v>46</v>
      </c>
      <c r="E41" s="15" t="s">
        <v>683</v>
      </c>
      <c r="F41" s="15" t="s">
        <v>689</v>
      </c>
      <c r="G41" s="15" t="s">
        <v>709</v>
      </c>
      <c r="H41" s="15" t="s">
        <v>710</v>
      </c>
      <c r="I41" s="15" t="s">
        <v>711</v>
      </c>
      <c r="J41" s="15" t="s">
        <v>712</v>
      </c>
      <c r="K41" s="13"/>
      <c r="L41" s="15"/>
      <c r="M41" s="15"/>
      <c r="N41" s="15"/>
      <c r="O41" s="15"/>
      <c r="P41" s="15"/>
      <c r="Q41" s="13" t="s">
        <v>696</v>
      </c>
      <c r="R41" s="15"/>
      <c r="T41" s="22" t="s">
        <v>40</v>
      </c>
    </row>
    <row r="42" ht="15.75" customHeight="1">
      <c r="A42" s="13">
        <v>39.0</v>
      </c>
      <c r="B42" s="15" t="s">
        <v>43</v>
      </c>
      <c r="C42" s="13" t="s">
        <v>45</v>
      </c>
      <c r="D42" s="15" t="s">
        <v>46</v>
      </c>
      <c r="E42" s="15" t="s">
        <v>683</v>
      </c>
      <c r="F42" s="15" t="s">
        <v>713</v>
      </c>
      <c r="G42" s="15" t="s">
        <v>714</v>
      </c>
      <c r="H42" s="15" t="s">
        <v>234</v>
      </c>
      <c r="I42" s="15" t="s">
        <v>715</v>
      </c>
      <c r="J42" s="15" t="s">
        <v>716</v>
      </c>
      <c r="K42" s="13"/>
      <c r="L42" s="15"/>
      <c r="M42" s="15"/>
      <c r="N42" s="15"/>
      <c r="O42" s="15"/>
      <c r="P42" s="15"/>
      <c r="Q42" s="13" t="s">
        <v>717</v>
      </c>
      <c r="R42" s="15"/>
      <c r="T42" s="22" t="s">
        <v>40</v>
      </c>
    </row>
    <row r="43" ht="15.75" customHeight="1">
      <c r="A43" s="13">
        <v>40.0</v>
      </c>
      <c r="B43" s="15" t="s">
        <v>43</v>
      </c>
      <c r="C43" s="13" t="s">
        <v>45</v>
      </c>
      <c r="D43" s="15" t="s">
        <v>46</v>
      </c>
      <c r="E43" s="15" t="s">
        <v>683</v>
      </c>
      <c r="F43" s="15" t="s">
        <v>718</v>
      </c>
      <c r="G43" s="15" t="s">
        <v>719</v>
      </c>
      <c r="H43" s="15" t="s">
        <v>234</v>
      </c>
      <c r="I43" s="15" t="s">
        <v>720</v>
      </c>
      <c r="J43" s="15" t="s">
        <v>721</v>
      </c>
      <c r="K43" s="13"/>
      <c r="L43" s="15"/>
      <c r="M43" s="15"/>
      <c r="N43" s="15"/>
      <c r="O43" s="15"/>
      <c r="P43" s="15"/>
      <c r="Q43" s="13" t="s">
        <v>717</v>
      </c>
      <c r="R43" s="15" t="s">
        <v>722</v>
      </c>
      <c r="T43" s="22" t="s">
        <v>40</v>
      </c>
    </row>
    <row r="44" ht="15.75" customHeight="1">
      <c r="A44" s="13">
        <v>41.0</v>
      </c>
      <c r="B44" s="15" t="s">
        <v>43</v>
      </c>
      <c r="C44" s="13" t="s">
        <v>45</v>
      </c>
      <c r="D44" s="15" t="s">
        <v>46</v>
      </c>
      <c r="E44" s="15" t="s">
        <v>120</v>
      </c>
      <c r="F44" s="15" t="s">
        <v>723</v>
      </c>
      <c r="G44" s="15" t="s">
        <v>724</v>
      </c>
      <c r="H44" s="15" t="s">
        <v>129</v>
      </c>
      <c r="I44" s="15" t="s">
        <v>725</v>
      </c>
      <c r="J44" s="15" t="s">
        <v>723</v>
      </c>
      <c r="K44" s="13" t="s">
        <v>726</v>
      </c>
      <c r="L44" s="15" t="s">
        <v>226</v>
      </c>
      <c r="M44" s="15"/>
      <c r="N44" s="15"/>
      <c r="O44" s="15"/>
      <c r="P44" s="15"/>
      <c r="Q44" s="13" t="s">
        <v>717</v>
      </c>
      <c r="R44" s="15" t="s">
        <v>727</v>
      </c>
      <c r="T44" s="22" t="s">
        <v>40</v>
      </c>
    </row>
    <row r="45" ht="15.75" customHeight="1">
      <c r="A45" s="13">
        <v>42.0</v>
      </c>
      <c r="B45" s="15" t="s">
        <v>43</v>
      </c>
      <c r="C45" s="13" t="s">
        <v>45</v>
      </c>
      <c r="D45" s="15" t="s">
        <v>46</v>
      </c>
      <c r="E45" s="15" t="s">
        <v>120</v>
      </c>
      <c r="F45" s="15" t="s">
        <v>723</v>
      </c>
      <c r="G45" s="15" t="s">
        <v>728</v>
      </c>
      <c r="H45" s="15" t="s">
        <v>327</v>
      </c>
      <c r="I45" s="15" t="s">
        <v>729</v>
      </c>
      <c r="J45" s="15" t="s">
        <v>723</v>
      </c>
      <c r="K45" s="13" t="s">
        <v>730</v>
      </c>
      <c r="L45" s="15" t="s">
        <v>731</v>
      </c>
      <c r="M45" s="15"/>
      <c r="N45" s="15"/>
      <c r="O45" s="15"/>
      <c r="P45" s="15"/>
      <c r="Q45" s="13" t="s">
        <v>717</v>
      </c>
      <c r="R45" s="15"/>
      <c r="T45" s="22" t="s">
        <v>40</v>
      </c>
    </row>
    <row r="46" ht="15.75" customHeight="1">
      <c r="A46" s="14">
        <v>43.0</v>
      </c>
      <c r="B46" s="16" t="s">
        <v>44</v>
      </c>
      <c r="C46" s="14" t="s">
        <v>45</v>
      </c>
      <c r="D46" s="16" t="s">
        <v>46</v>
      </c>
      <c r="E46" s="16" t="s">
        <v>732</v>
      </c>
      <c r="F46" s="16" t="s">
        <v>733</v>
      </c>
      <c r="G46" s="16" t="s">
        <v>734</v>
      </c>
      <c r="H46" s="16" t="s">
        <v>61</v>
      </c>
      <c r="I46" s="16" t="s">
        <v>735</v>
      </c>
      <c r="J46" s="16" t="s">
        <v>736</v>
      </c>
      <c r="K46" s="14"/>
      <c r="L46" s="16"/>
      <c r="M46" s="18" t="s">
        <v>737</v>
      </c>
      <c r="N46" s="20" t="s">
        <v>738</v>
      </c>
      <c r="O46" s="18" t="s">
        <v>739</v>
      </c>
      <c r="P46" s="16"/>
      <c r="Q46" s="14" t="s">
        <v>740</v>
      </c>
      <c r="R46" s="16" t="s">
        <v>741</v>
      </c>
      <c r="T46" s="22" t="s">
        <v>40</v>
      </c>
    </row>
    <row r="47" ht="15.75" customHeight="1">
      <c r="A47" s="13">
        <v>44.0</v>
      </c>
      <c r="B47" s="15" t="s">
        <v>43</v>
      </c>
      <c r="C47" s="13" t="s">
        <v>45</v>
      </c>
      <c r="D47" s="15" t="s">
        <v>46</v>
      </c>
      <c r="E47" s="15" t="s">
        <v>732</v>
      </c>
      <c r="F47" s="15" t="s">
        <v>733</v>
      </c>
      <c r="G47" s="15" t="s">
        <v>742</v>
      </c>
      <c r="H47" s="15" t="s">
        <v>743</v>
      </c>
      <c r="I47" s="15" t="s">
        <v>735</v>
      </c>
      <c r="J47" s="15" t="s">
        <v>744</v>
      </c>
      <c r="K47" s="13"/>
      <c r="L47" s="15"/>
      <c r="M47" s="15"/>
      <c r="N47" s="15"/>
      <c r="O47" s="15"/>
      <c r="P47" s="15"/>
      <c r="Q47" s="13" t="s">
        <v>745</v>
      </c>
      <c r="R47" s="15"/>
      <c r="T47" s="22" t="s">
        <v>40</v>
      </c>
    </row>
    <row r="48" ht="15.75" customHeight="1">
      <c r="A48" s="14">
        <v>45.0</v>
      </c>
      <c r="B48" s="16" t="s">
        <v>44</v>
      </c>
      <c r="C48" s="14" t="s">
        <v>45</v>
      </c>
      <c r="D48" s="16" t="s">
        <v>46</v>
      </c>
      <c r="E48" s="16" t="s">
        <v>732</v>
      </c>
      <c r="F48" s="16" t="s">
        <v>733</v>
      </c>
      <c r="G48" s="16" t="s">
        <v>746</v>
      </c>
      <c r="H48" s="16" t="s">
        <v>129</v>
      </c>
      <c r="I48" s="16" t="s">
        <v>747</v>
      </c>
      <c r="J48" s="16" t="s">
        <v>748</v>
      </c>
      <c r="K48" s="14"/>
      <c r="L48" s="16"/>
      <c r="M48" s="18" t="s">
        <v>749</v>
      </c>
      <c r="N48" s="18" t="s">
        <v>750</v>
      </c>
      <c r="O48" s="18" t="s">
        <v>751</v>
      </c>
      <c r="P48" s="16"/>
      <c r="Q48" s="14" t="s">
        <v>745</v>
      </c>
      <c r="R48" s="16" t="s">
        <v>752</v>
      </c>
      <c r="T48" s="22" t="s">
        <v>40</v>
      </c>
    </row>
    <row r="49" ht="15.75" customHeight="1">
      <c r="A49" s="13">
        <v>46.0</v>
      </c>
      <c r="B49" s="15" t="s">
        <v>43</v>
      </c>
      <c r="C49" s="13" t="s">
        <v>45</v>
      </c>
      <c r="D49" s="15" t="s">
        <v>46</v>
      </c>
      <c r="E49" s="15" t="s">
        <v>753</v>
      </c>
      <c r="F49" s="15" t="s">
        <v>754</v>
      </c>
      <c r="G49" s="15" t="s">
        <v>755</v>
      </c>
      <c r="H49" s="15" t="s">
        <v>756</v>
      </c>
      <c r="I49" s="15" t="s">
        <v>757</v>
      </c>
      <c r="J49" s="15" t="s">
        <v>758</v>
      </c>
      <c r="K49" s="13" t="s">
        <v>759</v>
      </c>
      <c r="L49" s="15" t="s">
        <v>760</v>
      </c>
      <c r="M49" s="15"/>
      <c r="N49" s="15"/>
      <c r="O49" s="15"/>
      <c r="P49" s="15"/>
      <c r="Q49" s="13" t="s">
        <v>761</v>
      </c>
      <c r="R49" s="15" t="s">
        <v>762</v>
      </c>
      <c r="T49" s="22" t="s">
        <v>40</v>
      </c>
    </row>
    <row r="50" ht="15.75" customHeight="1">
      <c r="A50" s="13">
        <v>47.0</v>
      </c>
      <c r="B50" s="15" t="s">
        <v>43</v>
      </c>
      <c r="C50" s="13" t="s">
        <v>45</v>
      </c>
      <c r="D50" s="15" t="s">
        <v>46</v>
      </c>
      <c r="E50" s="15" t="s">
        <v>763</v>
      </c>
      <c r="F50" s="15" t="s">
        <v>764</v>
      </c>
      <c r="G50" s="15" t="s">
        <v>765</v>
      </c>
      <c r="H50" s="15" t="s">
        <v>766</v>
      </c>
      <c r="I50" s="15" t="s">
        <v>767</v>
      </c>
      <c r="J50" s="15" t="s">
        <v>768</v>
      </c>
      <c r="K50" s="13"/>
      <c r="L50" s="15"/>
      <c r="M50" s="15"/>
      <c r="N50" s="15"/>
      <c r="O50" s="15"/>
      <c r="P50" s="15"/>
      <c r="Q50" s="13" t="s">
        <v>769</v>
      </c>
      <c r="R50" s="15"/>
      <c r="T50" s="22" t="s">
        <v>40</v>
      </c>
    </row>
    <row r="51" ht="15.75" customHeight="1">
      <c r="A51" s="13">
        <v>48.0</v>
      </c>
      <c r="B51" s="15" t="s">
        <v>43</v>
      </c>
      <c r="C51" s="13" t="s">
        <v>45</v>
      </c>
      <c r="D51" s="15" t="s">
        <v>46</v>
      </c>
      <c r="E51" s="15" t="s">
        <v>770</v>
      </c>
      <c r="F51" s="15" t="s">
        <v>771</v>
      </c>
      <c r="G51" s="15" t="s">
        <v>772</v>
      </c>
      <c r="H51" s="15" t="s">
        <v>129</v>
      </c>
      <c r="I51" s="15" t="s">
        <v>773</v>
      </c>
      <c r="J51" s="15" t="s">
        <v>774</v>
      </c>
      <c r="K51" s="13" t="s">
        <v>775</v>
      </c>
      <c r="L51" s="15" t="s">
        <v>488</v>
      </c>
      <c r="M51" s="15"/>
      <c r="N51" s="15"/>
      <c r="O51" s="15"/>
      <c r="P51" s="15"/>
      <c r="Q51" s="13" t="s">
        <v>776</v>
      </c>
      <c r="R51" s="15" t="s">
        <v>777</v>
      </c>
      <c r="T51" s="22" t="s">
        <v>40</v>
      </c>
    </row>
    <row r="52" ht="15.75" customHeight="1">
      <c r="A52" s="13">
        <v>49.0</v>
      </c>
      <c r="B52" s="15" t="s">
        <v>43</v>
      </c>
      <c r="C52" s="13" t="s">
        <v>45</v>
      </c>
      <c r="D52" s="15" t="s">
        <v>46</v>
      </c>
      <c r="E52" s="15" t="s">
        <v>770</v>
      </c>
      <c r="F52" s="15" t="s">
        <v>778</v>
      </c>
      <c r="G52" s="15" t="s">
        <v>779</v>
      </c>
      <c r="H52" s="15" t="s">
        <v>780</v>
      </c>
      <c r="I52" s="15" t="s">
        <v>781</v>
      </c>
      <c r="J52" s="15" t="s">
        <v>782</v>
      </c>
      <c r="K52" s="13" t="s">
        <v>783</v>
      </c>
      <c r="L52" s="15" t="s">
        <v>784</v>
      </c>
      <c r="M52" s="15"/>
      <c r="N52" s="15"/>
      <c r="O52" s="15"/>
      <c r="P52" s="15"/>
      <c r="Q52" s="13" t="s">
        <v>785</v>
      </c>
      <c r="R52" s="15"/>
      <c r="T52" s="22" t="s">
        <v>40</v>
      </c>
    </row>
    <row r="53" ht="15.75" customHeight="1">
      <c r="A53" s="13">
        <v>50.0</v>
      </c>
      <c r="B53" s="15" t="s">
        <v>43</v>
      </c>
      <c r="C53" s="13" t="s">
        <v>45</v>
      </c>
      <c r="D53" s="15" t="s">
        <v>46</v>
      </c>
      <c r="E53" s="15" t="s">
        <v>770</v>
      </c>
      <c r="F53" s="15" t="s">
        <v>771</v>
      </c>
      <c r="G53" s="15" t="s">
        <v>786</v>
      </c>
      <c r="H53" s="15" t="s">
        <v>787</v>
      </c>
      <c r="I53" s="15" t="s">
        <v>788</v>
      </c>
      <c r="J53" s="15" t="s">
        <v>789</v>
      </c>
      <c r="K53" s="13" t="s">
        <v>790</v>
      </c>
      <c r="L53" s="15" t="s">
        <v>791</v>
      </c>
      <c r="M53" s="15"/>
      <c r="N53" s="15"/>
      <c r="O53" s="15"/>
      <c r="P53" s="15"/>
      <c r="Q53" s="13" t="s">
        <v>785</v>
      </c>
      <c r="R53" s="15" t="s">
        <v>792</v>
      </c>
      <c r="T53" s="22" t="s">
        <v>40</v>
      </c>
    </row>
    <row r="54" ht="15.75" customHeight="1">
      <c r="A54" s="14">
        <v>51.0</v>
      </c>
      <c r="B54" s="16" t="s">
        <v>44</v>
      </c>
      <c r="C54" s="14" t="s">
        <v>45</v>
      </c>
      <c r="D54" s="16" t="s">
        <v>46</v>
      </c>
      <c r="E54" s="16" t="s">
        <v>770</v>
      </c>
      <c r="F54" s="16" t="s">
        <v>771</v>
      </c>
      <c r="G54" s="16" t="s">
        <v>793</v>
      </c>
      <c r="H54" s="16" t="s">
        <v>794</v>
      </c>
      <c r="I54" s="16" t="s">
        <v>795</v>
      </c>
      <c r="J54" s="16" t="s">
        <v>796</v>
      </c>
      <c r="K54" s="14"/>
      <c r="L54" s="16"/>
      <c r="M54" s="18" t="s">
        <v>797</v>
      </c>
      <c r="N54" s="20" t="s">
        <v>798</v>
      </c>
      <c r="O54" s="18" t="s">
        <v>799</v>
      </c>
      <c r="P54" s="16"/>
      <c r="Q54" s="14" t="s">
        <v>800</v>
      </c>
      <c r="R54" s="16"/>
      <c r="T54" s="22" t="s">
        <v>40</v>
      </c>
    </row>
    <row r="55" ht="15.75" customHeight="1">
      <c r="A55" s="13">
        <v>52.0</v>
      </c>
      <c r="B55" s="15" t="s">
        <v>43</v>
      </c>
      <c r="C55" s="13" t="s">
        <v>45</v>
      </c>
      <c r="D55" s="15" t="s">
        <v>46</v>
      </c>
      <c r="E55" s="15" t="s">
        <v>184</v>
      </c>
      <c r="F55" s="15" t="s">
        <v>801</v>
      </c>
      <c r="G55" s="15" t="s">
        <v>802</v>
      </c>
      <c r="H55" s="15" t="s">
        <v>803</v>
      </c>
      <c r="I55" s="15" t="s">
        <v>804</v>
      </c>
      <c r="J55" s="15" t="s">
        <v>805</v>
      </c>
      <c r="K55" s="13" t="s">
        <v>806</v>
      </c>
      <c r="L55" s="15" t="s">
        <v>807</v>
      </c>
      <c r="M55" s="15"/>
      <c r="N55" s="15"/>
      <c r="O55" s="15"/>
      <c r="P55" s="15"/>
      <c r="Q55" s="13" t="s">
        <v>800</v>
      </c>
      <c r="R55" s="15" t="s">
        <v>808</v>
      </c>
      <c r="T55" s="22" t="s">
        <v>40</v>
      </c>
    </row>
    <row r="56" ht="15.75" customHeight="1">
      <c r="A56" s="13">
        <v>53.0</v>
      </c>
      <c r="B56" s="15" t="s">
        <v>43</v>
      </c>
      <c r="C56" s="13" t="s">
        <v>45</v>
      </c>
      <c r="D56" s="15" t="s">
        <v>46</v>
      </c>
      <c r="E56" s="15" t="s">
        <v>753</v>
      </c>
      <c r="F56" s="15" t="s">
        <v>809</v>
      </c>
      <c r="G56" s="15" t="s">
        <v>810</v>
      </c>
      <c r="H56" s="15" t="s">
        <v>234</v>
      </c>
      <c r="I56" s="15" t="s">
        <v>811</v>
      </c>
      <c r="J56" s="15" t="s">
        <v>812</v>
      </c>
      <c r="K56" s="13" t="s">
        <v>813</v>
      </c>
      <c r="L56" s="15" t="s">
        <v>814</v>
      </c>
      <c r="M56" s="15"/>
      <c r="N56" s="15"/>
      <c r="O56" s="15"/>
      <c r="P56" s="15"/>
      <c r="Q56" s="13" t="s">
        <v>815</v>
      </c>
      <c r="R56" s="15" t="s">
        <v>816</v>
      </c>
      <c r="T56" s="22" t="s">
        <v>40</v>
      </c>
    </row>
    <row r="57" ht="15.75" customHeight="1">
      <c r="A57" s="13">
        <v>54.0</v>
      </c>
      <c r="B57" s="15" t="s">
        <v>43</v>
      </c>
      <c r="C57" s="13" t="s">
        <v>45</v>
      </c>
      <c r="D57" s="15" t="s">
        <v>46</v>
      </c>
      <c r="E57" s="15" t="s">
        <v>174</v>
      </c>
      <c r="F57" s="15" t="s">
        <v>817</v>
      </c>
      <c r="G57" s="15" t="s">
        <v>818</v>
      </c>
      <c r="H57" s="15" t="s">
        <v>819</v>
      </c>
      <c r="I57" s="15" t="s">
        <v>820</v>
      </c>
      <c r="J57" s="15" t="s">
        <v>712</v>
      </c>
      <c r="K57" s="13"/>
      <c r="L57" s="15"/>
      <c r="M57" s="15"/>
      <c r="N57" s="15"/>
      <c r="O57" s="15"/>
      <c r="P57" s="15"/>
      <c r="Q57" s="13" t="s">
        <v>821</v>
      </c>
      <c r="R57" s="15" t="s">
        <v>822</v>
      </c>
      <c r="T57" s="22" t="s">
        <v>40</v>
      </c>
    </row>
    <row r="58" ht="15.75" customHeight="1">
      <c r="A58" s="14">
        <v>55.0</v>
      </c>
      <c r="B58" s="16" t="s">
        <v>44</v>
      </c>
      <c r="C58" s="14" t="s">
        <v>45</v>
      </c>
      <c r="D58" s="16" t="s">
        <v>46</v>
      </c>
      <c r="E58" s="16" t="s">
        <v>174</v>
      </c>
      <c r="F58" s="16" t="s">
        <v>175</v>
      </c>
      <c r="G58" s="16" t="s">
        <v>823</v>
      </c>
      <c r="H58" s="16" t="s">
        <v>270</v>
      </c>
      <c r="I58" s="16" t="s">
        <v>824</v>
      </c>
      <c r="J58" s="16" t="s">
        <v>825</v>
      </c>
      <c r="K58" s="14" t="s">
        <v>826</v>
      </c>
      <c r="L58" s="16" t="s">
        <v>827</v>
      </c>
      <c r="M58" s="18" t="s">
        <v>828</v>
      </c>
      <c r="N58" s="18" t="s">
        <v>829</v>
      </c>
      <c r="O58" s="18" t="s">
        <v>830</v>
      </c>
      <c r="P58" s="16"/>
      <c r="Q58" s="14" t="s">
        <v>821</v>
      </c>
      <c r="R58" s="16" t="s">
        <v>831</v>
      </c>
      <c r="S58" s="21" t="s">
        <v>316</v>
      </c>
      <c r="T58" s="22" t="s">
        <v>40</v>
      </c>
    </row>
    <row r="59" ht="15.75" customHeight="1">
      <c r="A59" s="13">
        <v>56.0</v>
      </c>
      <c r="B59" s="15" t="s">
        <v>43</v>
      </c>
      <c r="C59" s="13" t="s">
        <v>45</v>
      </c>
      <c r="D59" s="15" t="s">
        <v>46</v>
      </c>
      <c r="E59" s="15" t="s">
        <v>832</v>
      </c>
      <c r="F59" s="15" t="s">
        <v>833</v>
      </c>
      <c r="G59" s="15" t="s">
        <v>834</v>
      </c>
      <c r="H59" s="15" t="s">
        <v>835</v>
      </c>
      <c r="I59" s="15" t="s">
        <v>836</v>
      </c>
      <c r="J59" s="15" t="s">
        <v>837</v>
      </c>
      <c r="K59" s="13" t="s">
        <v>838</v>
      </c>
      <c r="L59" s="15" t="s">
        <v>839</v>
      </c>
      <c r="M59" s="15"/>
      <c r="N59" s="15"/>
      <c r="O59" s="15"/>
      <c r="P59" s="15"/>
      <c r="Q59" s="13" t="s">
        <v>840</v>
      </c>
      <c r="R59" s="15" t="s">
        <v>841</v>
      </c>
      <c r="T59" s="22" t="s">
        <v>40</v>
      </c>
    </row>
    <row r="60" ht="15.75" customHeight="1">
      <c r="A60" s="14">
        <v>57.0</v>
      </c>
      <c r="B60" s="16" t="s">
        <v>44</v>
      </c>
      <c r="C60" s="14" t="s">
        <v>45</v>
      </c>
      <c r="D60" s="16" t="s">
        <v>46</v>
      </c>
      <c r="E60" s="16" t="s">
        <v>842</v>
      </c>
      <c r="F60" s="16" t="s">
        <v>289</v>
      </c>
      <c r="G60" s="16" t="s">
        <v>843</v>
      </c>
      <c r="H60" s="16" t="s">
        <v>844</v>
      </c>
      <c r="I60" s="16" t="s">
        <v>845</v>
      </c>
      <c r="J60" s="16" t="s">
        <v>846</v>
      </c>
      <c r="K60" s="14" t="s">
        <v>847</v>
      </c>
      <c r="L60" s="16" t="s">
        <v>70</v>
      </c>
      <c r="M60" s="18" t="s">
        <v>848</v>
      </c>
      <c r="N60" s="20" t="s">
        <v>849</v>
      </c>
      <c r="O60" s="18" t="s">
        <v>850</v>
      </c>
      <c r="P60" s="16"/>
      <c r="Q60" s="14" t="s">
        <v>851</v>
      </c>
      <c r="R60" s="16" t="s">
        <v>852</v>
      </c>
      <c r="S60" s="21" t="s">
        <v>853</v>
      </c>
      <c r="T60" s="22" t="s">
        <v>40</v>
      </c>
    </row>
    <row r="61" ht="15.75" customHeight="1">
      <c r="A61" s="13">
        <v>58.0</v>
      </c>
      <c r="B61" s="15" t="s">
        <v>43</v>
      </c>
      <c r="C61" s="13" t="s">
        <v>45</v>
      </c>
      <c r="D61" s="15" t="s">
        <v>46</v>
      </c>
      <c r="E61" s="15" t="s">
        <v>143</v>
      </c>
      <c r="F61" s="15" t="s">
        <v>145</v>
      </c>
      <c r="G61" s="15" t="s">
        <v>854</v>
      </c>
      <c r="H61" s="15" t="s">
        <v>855</v>
      </c>
      <c r="I61" s="15" t="s">
        <v>160</v>
      </c>
      <c r="J61" s="15" t="s">
        <v>856</v>
      </c>
      <c r="K61" s="13" t="s">
        <v>857</v>
      </c>
      <c r="L61" s="15" t="s">
        <v>858</v>
      </c>
      <c r="M61" s="15"/>
      <c r="N61" s="15"/>
      <c r="O61" s="15"/>
      <c r="P61" s="15"/>
      <c r="Q61" s="13" t="s">
        <v>859</v>
      </c>
      <c r="R61" s="15" t="s">
        <v>860</v>
      </c>
      <c r="T61" s="22" t="s">
        <v>40</v>
      </c>
    </row>
    <row r="62" ht="15.75" customHeight="1">
      <c r="A62" s="13">
        <v>59.0</v>
      </c>
      <c r="B62" s="15" t="s">
        <v>43</v>
      </c>
      <c r="C62" s="13" t="s">
        <v>45</v>
      </c>
      <c r="D62" s="15" t="s">
        <v>46</v>
      </c>
      <c r="E62" s="15" t="s">
        <v>51</v>
      </c>
      <c r="F62" s="15" t="s">
        <v>861</v>
      </c>
      <c r="G62" s="15" t="s">
        <v>862</v>
      </c>
      <c r="H62" s="15" t="s">
        <v>126</v>
      </c>
      <c r="I62" s="15" t="s">
        <v>160</v>
      </c>
      <c r="J62" s="15" t="s">
        <v>863</v>
      </c>
      <c r="K62" s="13" t="s">
        <v>864</v>
      </c>
      <c r="L62" s="15" t="s">
        <v>865</v>
      </c>
      <c r="M62" s="15"/>
      <c r="N62" s="15"/>
      <c r="O62" s="15"/>
      <c r="P62" s="15"/>
      <c r="Q62" s="13" t="s">
        <v>866</v>
      </c>
      <c r="R62" s="15" t="s">
        <v>867</v>
      </c>
      <c r="T62" s="22" t="s">
        <v>40</v>
      </c>
    </row>
    <row r="63" ht="15.75" customHeight="1">
      <c r="A63" s="13">
        <v>60.0</v>
      </c>
      <c r="B63" s="15" t="s">
        <v>43</v>
      </c>
      <c r="C63" s="13" t="s">
        <v>331</v>
      </c>
      <c r="D63" s="15" t="s">
        <v>332</v>
      </c>
      <c r="E63" s="15" t="s">
        <v>332</v>
      </c>
      <c r="F63" s="15" t="s">
        <v>868</v>
      </c>
      <c r="G63" s="15" t="s">
        <v>869</v>
      </c>
      <c r="H63" s="15" t="s">
        <v>870</v>
      </c>
      <c r="I63" s="15" t="s">
        <v>871</v>
      </c>
      <c r="J63" s="15" t="s">
        <v>868</v>
      </c>
      <c r="K63" s="13"/>
      <c r="L63" s="15"/>
      <c r="M63" s="15"/>
      <c r="N63" s="15"/>
      <c r="O63" s="15"/>
      <c r="P63" s="15"/>
      <c r="Q63" s="13" t="s">
        <v>872</v>
      </c>
      <c r="R63" s="15"/>
      <c r="T63" s="22" t="s">
        <v>40</v>
      </c>
    </row>
    <row r="64" ht="15.75" customHeight="1">
      <c r="A64" s="14">
        <v>61.0</v>
      </c>
      <c r="B64" s="16" t="s">
        <v>44</v>
      </c>
      <c r="C64" s="14" t="s">
        <v>331</v>
      </c>
      <c r="D64" s="16" t="s">
        <v>332</v>
      </c>
      <c r="E64" s="16" t="s">
        <v>873</v>
      </c>
      <c r="F64" s="16" t="s">
        <v>874</v>
      </c>
      <c r="G64" s="16" t="s">
        <v>875</v>
      </c>
      <c r="H64" s="16" t="s">
        <v>876</v>
      </c>
      <c r="I64" s="16" t="s">
        <v>877</v>
      </c>
      <c r="J64" s="16" t="s">
        <v>878</v>
      </c>
      <c r="K64" s="14" t="s">
        <v>879</v>
      </c>
      <c r="L64" s="16" t="s">
        <v>880</v>
      </c>
      <c r="M64" s="18" t="s">
        <v>881</v>
      </c>
      <c r="N64" s="18" t="s">
        <v>882</v>
      </c>
      <c r="O64" s="18" t="s">
        <v>883</v>
      </c>
      <c r="P64" s="16"/>
      <c r="Q64" s="14" t="s">
        <v>884</v>
      </c>
      <c r="R64" s="16" t="s">
        <v>885</v>
      </c>
      <c r="S64" s="21" t="s">
        <v>886</v>
      </c>
      <c r="T64" s="22" t="s">
        <v>40</v>
      </c>
    </row>
    <row r="65" ht="15.75" customHeight="1">
      <c r="A65" s="13">
        <v>62.0</v>
      </c>
      <c r="B65" s="15" t="s">
        <v>43</v>
      </c>
      <c r="C65" s="13" t="s">
        <v>331</v>
      </c>
      <c r="D65" s="15" t="s">
        <v>332</v>
      </c>
      <c r="E65" s="15" t="s">
        <v>873</v>
      </c>
      <c r="F65" s="15" t="s">
        <v>887</v>
      </c>
      <c r="G65" s="15" t="s">
        <v>888</v>
      </c>
      <c r="H65" s="15" t="s">
        <v>889</v>
      </c>
      <c r="I65" s="15" t="s">
        <v>890</v>
      </c>
      <c r="J65" s="15" t="s">
        <v>891</v>
      </c>
      <c r="K65" s="13" t="s">
        <v>892</v>
      </c>
      <c r="L65" s="15" t="s">
        <v>70</v>
      </c>
      <c r="M65" s="15"/>
      <c r="N65" s="15"/>
      <c r="O65" s="15"/>
      <c r="P65" s="15"/>
      <c r="Q65" s="13" t="s">
        <v>893</v>
      </c>
      <c r="R65" s="15" t="s">
        <v>894</v>
      </c>
      <c r="T65" s="22" t="s">
        <v>40</v>
      </c>
    </row>
    <row r="66" ht="15.75" customHeight="1">
      <c r="A66" s="13">
        <v>63.0</v>
      </c>
      <c r="B66" s="15" t="s">
        <v>43</v>
      </c>
      <c r="C66" s="13" t="s">
        <v>331</v>
      </c>
      <c r="D66" s="15" t="s">
        <v>332</v>
      </c>
      <c r="E66" s="15" t="s">
        <v>895</v>
      </c>
      <c r="F66" s="15" t="s">
        <v>896</v>
      </c>
      <c r="G66" s="15" t="s">
        <v>897</v>
      </c>
      <c r="H66" s="15" t="s">
        <v>234</v>
      </c>
      <c r="I66" s="15" t="s">
        <v>898</v>
      </c>
      <c r="J66" s="15" t="s">
        <v>899</v>
      </c>
      <c r="K66" s="13" t="s">
        <v>900</v>
      </c>
      <c r="L66" s="15" t="s">
        <v>70</v>
      </c>
      <c r="M66" s="15"/>
      <c r="N66" s="15"/>
      <c r="O66" s="15"/>
      <c r="P66" s="15"/>
      <c r="Q66" s="13" t="s">
        <v>901</v>
      </c>
      <c r="R66" s="15" t="s">
        <v>902</v>
      </c>
      <c r="T66" s="22" t="s">
        <v>40</v>
      </c>
    </row>
    <row r="67" ht="15.75" customHeight="1">
      <c r="A67" s="13">
        <v>64.0</v>
      </c>
      <c r="B67" s="15" t="s">
        <v>43</v>
      </c>
      <c r="C67" s="13" t="s">
        <v>331</v>
      </c>
      <c r="D67" s="15" t="s">
        <v>332</v>
      </c>
      <c r="E67" s="15" t="s">
        <v>873</v>
      </c>
      <c r="F67" s="15" t="s">
        <v>903</v>
      </c>
      <c r="G67" s="15" t="s">
        <v>904</v>
      </c>
      <c r="H67" s="15" t="s">
        <v>905</v>
      </c>
      <c r="I67" s="15" t="s">
        <v>906</v>
      </c>
      <c r="J67" s="15" t="s">
        <v>903</v>
      </c>
      <c r="K67" s="13"/>
      <c r="L67" s="15"/>
      <c r="M67" s="15"/>
      <c r="N67" s="15"/>
      <c r="O67" s="15"/>
      <c r="P67" s="15"/>
      <c r="Q67" s="13" t="s">
        <v>884</v>
      </c>
      <c r="R67" s="15" t="s">
        <v>907</v>
      </c>
      <c r="T67" s="22" t="s">
        <v>40</v>
      </c>
    </row>
    <row r="68" ht="15.75" customHeight="1">
      <c r="A68" s="13">
        <v>65.0</v>
      </c>
      <c r="B68" s="15" t="s">
        <v>43</v>
      </c>
      <c r="C68" s="33" t="s">
        <v>331</v>
      </c>
      <c r="D68" s="15" t="s">
        <v>332</v>
      </c>
      <c r="E68" s="15" t="s">
        <v>908</v>
      </c>
      <c r="F68" s="15" t="s">
        <v>909</v>
      </c>
      <c r="G68" s="15" t="s">
        <v>910</v>
      </c>
      <c r="H68" s="15" t="s">
        <v>411</v>
      </c>
      <c r="I68" s="15" t="s">
        <v>911</v>
      </c>
      <c r="J68" s="15" t="s">
        <v>912</v>
      </c>
      <c r="K68" s="13" t="s">
        <v>913</v>
      </c>
      <c r="L68" s="15" t="s">
        <v>914</v>
      </c>
      <c r="M68" s="15"/>
      <c r="N68" s="15"/>
      <c r="O68" s="15"/>
      <c r="P68" s="15"/>
      <c r="Q68" s="13" t="s">
        <v>915</v>
      </c>
      <c r="R68" s="15" t="s">
        <v>916</v>
      </c>
      <c r="T68" s="22" t="s">
        <v>40</v>
      </c>
    </row>
    <row r="69" ht="15.75" customHeight="1">
      <c r="A69" s="13">
        <v>66.0</v>
      </c>
      <c r="B69" s="15" t="s">
        <v>43</v>
      </c>
      <c r="C69" s="13" t="s">
        <v>331</v>
      </c>
      <c r="D69" s="15" t="s">
        <v>393</v>
      </c>
      <c r="E69" s="15" t="s">
        <v>408</v>
      </c>
      <c r="F69" s="15" t="s">
        <v>917</v>
      </c>
      <c r="G69" s="15" t="s">
        <v>918</v>
      </c>
      <c r="H69" s="15" t="s">
        <v>432</v>
      </c>
      <c r="I69" s="15" t="s">
        <v>919</v>
      </c>
      <c r="J69" s="15" t="s">
        <v>917</v>
      </c>
      <c r="K69" s="13" t="s">
        <v>920</v>
      </c>
      <c r="L69" s="15" t="s">
        <v>921</v>
      </c>
      <c r="M69" s="15"/>
      <c r="N69" s="15"/>
      <c r="O69" s="15"/>
      <c r="P69" s="15"/>
      <c r="Q69" s="13" t="s">
        <v>922</v>
      </c>
      <c r="R69" s="15" t="s">
        <v>923</v>
      </c>
      <c r="T69" s="22" t="s">
        <v>40</v>
      </c>
    </row>
    <row r="70" ht="15.75" customHeight="1">
      <c r="A70" s="13">
        <v>67.0</v>
      </c>
      <c r="B70" s="15" t="s">
        <v>43</v>
      </c>
      <c r="C70" s="13" t="s">
        <v>331</v>
      </c>
      <c r="D70" s="15" t="s">
        <v>924</v>
      </c>
      <c r="E70" s="15" t="s">
        <v>925</v>
      </c>
      <c r="F70" s="15" t="s">
        <v>926</v>
      </c>
      <c r="G70" s="15" t="s">
        <v>927</v>
      </c>
      <c r="H70" s="15" t="s">
        <v>495</v>
      </c>
      <c r="I70" s="15" t="s">
        <v>928</v>
      </c>
      <c r="J70" s="15" t="s">
        <v>929</v>
      </c>
      <c r="K70" s="13"/>
      <c r="L70" s="15"/>
      <c r="M70" s="29" t="s">
        <v>930</v>
      </c>
      <c r="N70" s="39" t="s">
        <v>931</v>
      </c>
      <c r="O70" s="29" t="s">
        <v>932</v>
      </c>
      <c r="P70" s="15"/>
      <c r="Q70" s="13" t="s">
        <v>866</v>
      </c>
      <c r="R70" s="15" t="s">
        <v>933</v>
      </c>
      <c r="S70" s="28" t="s">
        <v>502</v>
      </c>
      <c r="T70" s="22" t="s">
        <v>40</v>
      </c>
    </row>
    <row r="71" ht="15.75" customHeight="1">
      <c r="A71" s="13">
        <v>68.0</v>
      </c>
      <c r="B71" s="15" t="s">
        <v>43</v>
      </c>
      <c r="C71" s="13" t="s">
        <v>331</v>
      </c>
      <c r="D71" s="15" t="s">
        <v>332</v>
      </c>
      <c r="E71" s="15" t="s">
        <v>895</v>
      </c>
      <c r="F71" s="15" t="s">
        <v>934</v>
      </c>
      <c r="G71" s="15" t="s">
        <v>935</v>
      </c>
      <c r="H71" s="15" t="s">
        <v>495</v>
      </c>
      <c r="I71" s="15" t="s">
        <v>936</v>
      </c>
      <c r="J71" s="15" t="s">
        <v>937</v>
      </c>
      <c r="K71" s="13"/>
      <c r="L71" s="15"/>
      <c r="M71" s="29" t="s">
        <v>938</v>
      </c>
      <c r="N71" s="39" t="s">
        <v>939</v>
      </c>
      <c r="O71" s="29" t="s">
        <v>940</v>
      </c>
      <c r="P71" s="15"/>
      <c r="Q71" s="13" t="s">
        <v>866</v>
      </c>
      <c r="R71" s="15"/>
      <c r="S71" s="28" t="s">
        <v>502</v>
      </c>
      <c r="T71" s="22" t="s">
        <v>40</v>
      </c>
    </row>
    <row r="72" ht="15.75" customHeight="1">
      <c r="A72" s="13">
        <v>69.0</v>
      </c>
      <c r="B72" s="15" t="s">
        <v>43</v>
      </c>
      <c r="C72" s="13" t="s">
        <v>331</v>
      </c>
      <c r="D72" s="15" t="s">
        <v>332</v>
      </c>
      <c r="E72" s="15" t="s">
        <v>941</v>
      </c>
      <c r="F72" s="15" t="s">
        <v>942</v>
      </c>
      <c r="G72" s="15" t="s">
        <v>943</v>
      </c>
      <c r="H72" s="15" t="s">
        <v>495</v>
      </c>
      <c r="I72" s="15" t="s">
        <v>944</v>
      </c>
      <c r="J72" s="15" t="s">
        <v>945</v>
      </c>
      <c r="K72" s="13"/>
      <c r="L72" s="15"/>
      <c r="M72" s="29" t="s">
        <v>946</v>
      </c>
      <c r="N72" s="39" t="s">
        <v>947</v>
      </c>
      <c r="O72" s="29" t="s">
        <v>948</v>
      </c>
      <c r="P72" s="15"/>
      <c r="Q72" s="13" t="s">
        <v>866</v>
      </c>
      <c r="R72" s="15" t="s">
        <v>949</v>
      </c>
      <c r="S72" s="28" t="s">
        <v>502</v>
      </c>
      <c r="T72" s="22" t="s">
        <v>40</v>
      </c>
    </row>
    <row r="73" ht="15.75" customHeight="1">
      <c r="A73" s="13">
        <v>70.0</v>
      </c>
      <c r="B73" s="15" t="s">
        <v>43</v>
      </c>
      <c r="C73" s="13" t="s">
        <v>331</v>
      </c>
      <c r="D73" s="15" t="s">
        <v>332</v>
      </c>
      <c r="E73" s="15" t="s">
        <v>895</v>
      </c>
      <c r="F73" s="15" t="s">
        <v>896</v>
      </c>
      <c r="G73" s="15" t="s">
        <v>950</v>
      </c>
      <c r="H73" s="15" t="s">
        <v>495</v>
      </c>
      <c r="I73" s="15" t="s">
        <v>951</v>
      </c>
      <c r="J73" s="15" t="s">
        <v>896</v>
      </c>
      <c r="K73" s="13" t="s">
        <v>224</v>
      </c>
      <c r="L73" s="15" t="s">
        <v>952</v>
      </c>
      <c r="M73" s="29" t="s">
        <v>953</v>
      </c>
      <c r="N73" s="39" t="s">
        <v>954</v>
      </c>
      <c r="O73" s="29" t="s">
        <v>955</v>
      </c>
      <c r="P73" s="15"/>
      <c r="Q73" s="13" t="s">
        <v>866</v>
      </c>
      <c r="R73" s="15" t="s">
        <v>956</v>
      </c>
      <c r="S73" s="28" t="s">
        <v>502</v>
      </c>
      <c r="T73" s="22" t="s">
        <v>40</v>
      </c>
    </row>
    <row r="74" ht="15.75" customHeight="1">
      <c r="A74" s="13">
        <v>71.0</v>
      </c>
      <c r="B74" s="15" t="s">
        <v>43</v>
      </c>
      <c r="C74" s="13" t="s">
        <v>331</v>
      </c>
      <c r="D74" s="15" t="s">
        <v>332</v>
      </c>
      <c r="E74" s="15" t="s">
        <v>908</v>
      </c>
      <c r="F74" s="15" t="s">
        <v>957</v>
      </c>
      <c r="G74" s="15" t="s">
        <v>958</v>
      </c>
      <c r="H74" s="15" t="s">
        <v>495</v>
      </c>
      <c r="I74" s="15" t="s">
        <v>959</v>
      </c>
      <c r="J74" s="15" t="s">
        <v>957</v>
      </c>
      <c r="K74" s="13"/>
      <c r="L74" s="15"/>
      <c r="M74" s="29" t="s">
        <v>960</v>
      </c>
      <c r="N74" s="39" t="s">
        <v>961</v>
      </c>
      <c r="O74" s="29" t="s">
        <v>962</v>
      </c>
      <c r="P74" s="15"/>
      <c r="Q74" s="13" t="s">
        <v>866</v>
      </c>
      <c r="R74" s="15"/>
      <c r="S74" s="28" t="s">
        <v>502</v>
      </c>
      <c r="T74" s="22" t="s">
        <v>40</v>
      </c>
    </row>
    <row r="75" ht="15.75" customHeight="1">
      <c r="A75" s="13">
        <v>72.0</v>
      </c>
      <c r="B75" s="15" t="s">
        <v>43</v>
      </c>
      <c r="C75" s="13" t="s">
        <v>331</v>
      </c>
      <c r="D75" s="15" t="s">
        <v>332</v>
      </c>
      <c r="E75" s="15" t="s">
        <v>963</v>
      </c>
      <c r="F75" s="15" t="s">
        <v>964</v>
      </c>
      <c r="G75" s="15" t="s">
        <v>965</v>
      </c>
      <c r="H75" s="15" t="s">
        <v>495</v>
      </c>
      <c r="I75" s="15" t="s">
        <v>966</v>
      </c>
      <c r="J75" s="15" t="s">
        <v>963</v>
      </c>
      <c r="K75" s="13"/>
      <c r="L75" s="15"/>
      <c r="M75" s="29" t="s">
        <v>967</v>
      </c>
      <c r="N75" s="39" t="s">
        <v>968</v>
      </c>
      <c r="O75" s="29" t="s">
        <v>969</v>
      </c>
      <c r="P75" s="15"/>
      <c r="Q75" s="13" t="s">
        <v>866</v>
      </c>
      <c r="R75" s="15"/>
      <c r="S75" s="28" t="s">
        <v>502</v>
      </c>
      <c r="T75" s="22" t="s">
        <v>40</v>
      </c>
    </row>
    <row r="76" ht="15.75" customHeight="1">
      <c r="A76" s="13">
        <v>73.0</v>
      </c>
      <c r="B76" s="15" t="s">
        <v>43</v>
      </c>
      <c r="C76" s="13" t="s">
        <v>331</v>
      </c>
      <c r="D76" s="15" t="s">
        <v>332</v>
      </c>
      <c r="E76" s="15" t="s">
        <v>970</v>
      </c>
      <c r="F76" s="15" t="s">
        <v>971</v>
      </c>
      <c r="G76" s="15" t="s">
        <v>972</v>
      </c>
      <c r="H76" s="15" t="s">
        <v>495</v>
      </c>
      <c r="I76" s="15" t="s">
        <v>973</v>
      </c>
      <c r="J76" s="15" t="s">
        <v>971</v>
      </c>
      <c r="K76" s="13"/>
      <c r="L76" s="15"/>
      <c r="M76" s="29" t="s">
        <v>974</v>
      </c>
      <c r="N76" s="39" t="s">
        <v>975</v>
      </c>
      <c r="O76" s="29" t="s">
        <v>976</v>
      </c>
      <c r="P76" s="15"/>
      <c r="Q76" s="13" t="s">
        <v>866</v>
      </c>
      <c r="R76" s="15"/>
      <c r="S76" s="28" t="s">
        <v>502</v>
      </c>
      <c r="T76" s="22" t="s">
        <v>40</v>
      </c>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R$76"/>
  <mergeCells count="2">
    <mergeCell ref="A1:R1"/>
    <mergeCell ref="A2:R2"/>
  </mergeCells>
  <hyperlinks>
    <hyperlink r:id="rId1" ref="N4"/>
    <hyperlink r:id="rId2" ref="N5"/>
    <hyperlink r:id="rId3" ref="T5"/>
    <hyperlink r:id="rId4" ref="T6"/>
    <hyperlink r:id="rId5" ref="N7"/>
    <hyperlink r:id="rId6" ref="T7"/>
    <hyperlink r:id="rId7" ref="T8"/>
    <hyperlink r:id="rId8" ref="T9"/>
    <hyperlink r:id="rId9" ref="T10"/>
    <hyperlink r:id="rId10" ref="T11"/>
    <hyperlink r:id="rId11" ref="T12"/>
    <hyperlink r:id="rId12" ref="T13"/>
    <hyperlink r:id="rId13" ref="T14"/>
    <hyperlink r:id="rId14" ref="T15"/>
    <hyperlink r:id="rId15" ref="T16"/>
    <hyperlink r:id="rId16" ref="T17"/>
    <hyperlink r:id="rId17" ref="N18"/>
    <hyperlink r:id="rId18" ref="T18"/>
    <hyperlink r:id="rId19" ref="T19"/>
    <hyperlink r:id="rId20" ref="T20"/>
    <hyperlink r:id="rId21" ref="T21"/>
    <hyperlink r:id="rId22" ref="T22"/>
    <hyperlink r:id="rId23" ref="N23"/>
    <hyperlink r:id="rId24" ref="T23"/>
    <hyperlink r:id="rId25" ref="T24"/>
    <hyperlink r:id="rId26" ref="T25"/>
    <hyperlink r:id="rId27" ref="T26"/>
    <hyperlink r:id="rId28" ref="T27"/>
    <hyperlink r:id="rId29" ref="T28"/>
    <hyperlink r:id="rId30" ref="T29"/>
    <hyperlink r:id="rId31" ref="T30"/>
    <hyperlink r:id="rId32" ref="T31"/>
    <hyperlink r:id="rId33" ref="N32"/>
    <hyperlink r:id="rId34" ref="T32"/>
    <hyperlink r:id="rId35" ref="T33"/>
    <hyperlink r:id="rId36" ref="T34"/>
    <hyperlink r:id="rId37" ref="T35"/>
    <hyperlink r:id="rId38" ref="T36"/>
    <hyperlink r:id="rId39" ref="T37"/>
    <hyperlink r:id="rId40" ref="T38"/>
    <hyperlink r:id="rId41" ref="T39"/>
    <hyperlink r:id="rId42" ref="T40"/>
    <hyperlink r:id="rId43" ref="T41"/>
    <hyperlink r:id="rId44" ref="T42"/>
    <hyperlink r:id="rId45" ref="T43"/>
    <hyperlink r:id="rId46" ref="T44"/>
    <hyperlink r:id="rId47" ref="T45"/>
    <hyperlink r:id="rId48" ref="N46"/>
    <hyperlink r:id="rId49" ref="T46"/>
    <hyperlink r:id="rId50" ref="T47"/>
    <hyperlink r:id="rId51" ref="T48"/>
    <hyperlink r:id="rId52" ref="T49"/>
    <hyperlink r:id="rId53" ref="T50"/>
    <hyperlink r:id="rId54" ref="T51"/>
    <hyperlink r:id="rId55" ref="T52"/>
    <hyperlink r:id="rId56" ref="T53"/>
    <hyperlink r:id="rId57" ref="N54"/>
    <hyperlink r:id="rId58" ref="T54"/>
    <hyperlink r:id="rId59" ref="T55"/>
    <hyperlink r:id="rId60" ref="T56"/>
    <hyperlink r:id="rId61" ref="T57"/>
    <hyperlink r:id="rId62" ref="T58"/>
    <hyperlink r:id="rId63" ref="T59"/>
    <hyperlink r:id="rId64" ref="N60"/>
    <hyperlink r:id="rId65" ref="T60"/>
    <hyperlink r:id="rId66" ref="T61"/>
    <hyperlink r:id="rId67" ref="T62"/>
    <hyperlink r:id="rId68" ref="T63"/>
    <hyperlink r:id="rId69" ref="T64"/>
    <hyperlink r:id="rId70" ref="T65"/>
    <hyperlink r:id="rId71" ref="T66"/>
    <hyperlink r:id="rId72" ref="T67"/>
    <hyperlink r:id="rId73" ref="T68"/>
    <hyperlink r:id="rId74" ref="T69"/>
    <hyperlink r:id="rId75" ref="T70"/>
    <hyperlink r:id="rId76" ref="T71"/>
    <hyperlink r:id="rId77" ref="T72"/>
    <hyperlink r:id="rId78" ref="T73"/>
    <hyperlink r:id="rId79" ref="T74"/>
    <hyperlink r:id="rId80" ref="T75"/>
    <hyperlink r:id="rId81" ref="T76"/>
  </hyperlinks>
  <printOptions/>
  <pageMargins bottom="1.0" footer="0.0" header="0.0" left="0.75" right="0.75" top="1.0"/>
  <pageSetup orientation="landscape"/>
  <drawing r:id="rId8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9.57"/>
    <col customWidth="1" min="3" max="3" width="14.0"/>
    <col customWidth="1" min="4" max="4" width="13.0"/>
    <col customWidth="1" min="5" max="5" width="15.0"/>
    <col customWidth="1" min="6" max="6" width="16.0"/>
    <col customWidth="1" min="7" max="7" width="28.43"/>
    <col customWidth="1" min="8" max="8" width="16.0"/>
    <col customWidth="1" min="9" max="9" width="26.0"/>
    <col customWidth="1" min="10" max="10" width="21.14"/>
    <col customWidth="1" min="11" max="11" width="14.86"/>
    <col customWidth="1" min="12" max="12" width="20.0"/>
    <col customWidth="1" min="13" max="13" width="22.71"/>
    <col customWidth="1" min="14" max="14" width="22.0"/>
    <col customWidth="1" min="15" max="15" width="39.14"/>
    <col customWidth="1" hidden="1" min="16" max="16" width="24.0"/>
    <col customWidth="1" min="17" max="17" width="10.0"/>
    <col customWidth="1" min="18" max="18" width="26.14"/>
    <col customWidth="1" hidden="1" min="19" max="19" width="8.71"/>
    <col customWidth="1" min="20" max="21" width="8.71"/>
  </cols>
  <sheetData>
    <row r="1" ht="24.0" customHeight="1">
      <c r="A1" s="4" t="s">
        <v>4</v>
      </c>
    </row>
    <row r="2" ht="15.75" customHeight="1">
      <c r="A2" s="6" t="s">
        <v>6</v>
      </c>
    </row>
    <row r="3" ht="30.0" customHeight="1">
      <c r="A3" s="9" t="s">
        <v>9</v>
      </c>
      <c r="B3" s="9" t="s">
        <v>13</v>
      </c>
      <c r="C3" s="9" t="s">
        <v>15</v>
      </c>
      <c r="D3" s="9" t="s">
        <v>16</v>
      </c>
      <c r="E3" s="9" t="s">
        <v>18</v>
      </c>
      <c r="F3" s="9" t="s">
        <v>20</v>
      </c>
      <c r="G3" s="9" t="s">
        <v>21</v>
      </c>
      <c r="H3" s="9" t="s">
        <v>23</v>
      </c>
      <c r="I3" s="9" t="s">
        <v>25</v>
      </c>
      <c r="J3" s="9" t="s">
        <v>26</v>
      </c>
      <c r="K3" s="9" t="s">
        <v>28</v>
      </c>
      <c r="L3" s="9" t="s">
        <v>30</v>
      </c>
      <c r="M3" s="9" t="s">
        <v>31</v>
      </c>
      <c r="N3" s="9" t="s">
        <v>32</v>
      </c>
      <c r="O3" s="9" t="s">
        <v>33</v>
      </c>
      <c r="P3" s="9" t="s">
        <v>34</v>
      </c>
      <c r="Q3" s="9" t="s">
        <v>35</v>
      </c>
      <c r="R3" s="9" t="s">
        <v>36</v>
      </c>
      <c r="S3" s="9" t="s">
        <v>38</v>
      </c>
      <c r="T3" s="9" t="s">
        <v>40</v>
      </c>
    </row>
    <row r="4">
      <c r="A4" s="13">
        <v>1.0</v>
      </c>
      <c r="B4" s="15" t="s">
        <v>43</v>
      </c>
      <c r="C4" s="13" t="s">
        <v>45</v>
      </c>
      <c r="D4" s="15" t="s">
        <v>46</v>
      </c>
      <c r="E4" s="15" t="s">
        <v>48</v>
      </c>
      <c r="F4" s="15" t="s">
        <v>50</v>
      </c>
      <c r="G4" s="15" t="s">
        <v>53</v>
      </c>
      <c r="H4" s="15" t="s">
        <v>56</v>
      </c>
      <c r="I4" s="15" t="s">
        <v>59</v>
      </c>
      <c r="J4" s="15" t="s">
        <v>62</v>
      </c>
      <c r="K4" s="13" t="s">
        <v>66</v>
      </c>
      <c r="L4" s="15" t="s">
        <v>69</v>
      </c>
      <c r="M4" s="15"/>
      <c r="N4" s="15"/>
      <c r="O4" s="15"/>
      <c r="P4" s="15"/>
      <c r="Q4" s="13" t="s">
        <v>75</v>
      </c>
      <c r="R4" s="15" t="s">
        <v>76</v>
      </c>
      <c r="S4" s="19"/>
      <c r="T4" s="22" t="str">
        <f t="array" ref="T4:T34">IF(G4:G34="","",HYPERLINK("https://www.google.com/maps/search/?api=1&amp;query="&amp;ENCODEURL(G4:G34&amp;", "&amp;F4:F34&amp;", "&amp;E4:E34&amp;", "&amp;D4:D34),"Map"))</f>
        <v>Map</v>
      </c>
    </row>
    <row r="5">
      <c r="A5" s="14">
        <v>2.0</v>
      </c>
      <c r="B5" s="16" t="s">
        <v>44</v>
      </c>
      <c r="C5" s="14" t="s">
        <v>45</v>
      </c>
      <c r="D5" s="16" t="s">
        <v>46</v>
      </c>
      <c r="E5" s="16" t="s">
        <v>48</v>
      </c>
      <c r="F5" s="16" t="s">
        <v>85</v>
      </c>
      <c r="G5" s="16" t="s">
        <v>87</v>
      </c>
      <c r="H5" s="16" t="s">
        <v>90</v>
      </c>
      <c r="I5" s="16" t="s">
        <v>94</v>
      </c>
      <c r="J5" s="16" t="s">
        <v>96</v>
      </c>
      <c r="K5" s="14" t="s">
        <v>100</v>
      </c>
      <c r="L5" s="16" t="s">
        <v>70</v>
      </c>
      <c r="M5" s="18" t="s">
        <v>104</v>
      </c>
      <c r="N5" s="18" t="s">
        <v>106</v>
      </c>
      <c r="O5" s="18" t="s">
        <v>108</v>
      </c>
      <c r="P5" s="16"/>
      <c r="Q5" s="14" t="s">
        <v>109</v>
      </c>
      <c r="R5" s="16" t="s">
        <v>110</v>
      </c>
      <c r="S5" s="25" t="s">
        <v>111</v>
      </c>
      <c r="T5" s="22" t="s">
        <v>40</v>
      </c>
    </row>
    <row r="6">
      <c r="A6" s="13">
        <v>3.0</v>
      </c>
      <c r="B6" s="15" t="s">
        <v>43</v>
      </c>
      <c r="C6" s="13" t="s">
        <v>45</v>
      </c>
      <c r="D6" s="15" t="s">
        <v>46</v>
      </c>
      <c r="E6" s="15" t="s">
        <v>48</v>
      </c>
      <c r="F6" s="15" t="s">
        <v>122</v>
      </c>
      <c r="G6" s="15" t="s">
        <v>124</v>
      </c>
      <c r="H6" s="15" t="s">
        <v>126</v>
      </c>
      <c r="I6" s="15" t="s">
        <v>128</v>
      </c>
      <c r="J6" s="15" t="s">
        <v>130</v>
      </c>
      <c r="K6" s="13" t="s">
        <v>132</v>
      </c>
      <c r="L6" s="15" t="s">
        <v>134</v>
      </c>
      <c r="M6" s="15"/>
      <c r="N6" s="29"/>
      <c r="O6" s="15"/>
      <c r="P6" s="15"/>
      <c r="Q6" s="13" t="s">
        <v>139</v>
      </c>
      <c r="R6" s="15" t="s">
        <v>141</v>
      </c>
      <c r="S6" s="19"/>
      <c r="T6" s="22" t="s">
        <v>40</v>
      </c>
    </row>
    <row r="7">
      <c r="A7" s="13">
        <v>4.0</v>
      </c>
      <c r="B7" s="15" t="s">
        <v>43</v>
      </c>
      <c r="C7" s="13" t="s">
        <v>45</v>
      </c>
      <c r="D7" s="15" t="s">
        <v>46</v>
      </c>
      <c r="E7" s="15" t="s">
        <v>48</v>
      </c>
      <c r="F7" s="15" t="s">
        <v>150</v>
      </c>
      <c r="G7" s="15" t="s">
        <v>154</v>
      </c>
      <c r="H7" s="15" t="s">
        <v>157</v>
      </c>
      <c r="I7" s="15" t="s">
        <v>160</v>
      </c>
      <c r="J7" s="15" t="s">
        <v>163</v>
      </c>
      <c r="K7" s="13"/>
      <c r="L7" s="15" t="s">
        <v>166</v>
      </c>
      <c r="M7" s="15"/>
      <c r="N7" s="31"/>
      <c r="O7" s="15"/>
      <c r="P7" s="15"/>
      <c r="Q7" s="13" t="s">
        <v>168</v>
      </c>
      <c r="R7" s="15" t="s">
        <v>170</v>
      </c>
      <c r="S7" s="19"/>
      <c r="T7" s="22" t="s">
        <v>40</v>
      </c>
    </row>
    <row r="8">
      <c r="A8" s="14">
        <v>5.0</v>
      </c>
      <c r="B8" s="16" t="s">
        <v>44</v>
      </c>
      <c r="C8" s="14" t="s">
        <v>45</v>
      </c>
      <c r="D8" s="16" t="s">
        <v>46</v>
      </c>
      <c r="E8" s="16" t="s">
        <v>143</v>
      </c>
      <c r="F8" s="16" t="s">
        <v>145</v>
      </c>
      <c r="G8" s="16" t="s">
        <v>183</v>
      </c>
      <c r="H8" s="16" t="s">
        <v>129</v>
      </c>
      <c r="I8" s="16" t="s">
        <v>186</v>
      </c>
      <c r="J8" s="16" t="s">
        <v>187</v>
      </c>
      <c r="K8" s="32" t="s">
        <v>188</v>
      </c>
      <c r="L8" s="18" t="s">
        <v>191</v>
      </c>
      <c r="M8" s="18" t="s">
        <v>193</v>
      </c>
      <c r="N8" s="20" t="s">
        <v>195</v>
      </c>
      <c r="O8" s="18" t="s">
        <v>205</v>
      </c>
      <c r="P8" s="16"/>
      <c r="Q8" s="14" t="s">
        <v>208</v>
      </c>
      <c r="R8" s="16" t="s">
        <v>210</v>
      </c>
      <c r="S8" s="25" t="s">
        <v>211</v>
      </c>
      <c r="T8" s="22" t="s">
        <v>40</v>
      </c>
    </row>
    <row r="9">
      <c r="A9" s="13">
        <v>6.0</v>
      </c>
      <c r="B9" s="15" t="s">
        <v>43</v>
      </c>
      <c r="C9" s="13" t="s">
        <v>45</v>
      </c>
      <c r="D9" s="15" t="s">
        <v>46</v>
      </c>
      <c r="E9" s="15" t="s">
        <v>174</v>
      </c>
      <c r="F9" s="15" t="s">
        <v>219</v>
      </c>
      <c r="G9" s="15" t="s">
        <v>221</v>
      </c>
      <c r="H9" s="15" t="s">
        <v>223</v>
      </c>
      <c r="I9" s="15" t="s">
        <v>225</v>
      </c>
      <c r="J9" s="15" t="s">
        <v>227</v>
      </c>
      <c r="K9" s="33" t="s">
        <v>228</v>
      </c>
      <c r="L9" s="15" t="s">
        <v>231</v>
      </c>
      <c r="M9" s="15"/>
      <c r="N9" s="15"/>
      <c r="O9" s="15"/>
      <c r="P9" s="15"/>
      <c r="Q9" s="13" t="s">
        <v>239</v>
      </c>
      <c r="R9" s="15" t="s">
        <v>240</v>
      </c>
      <c r="S9" s="19"/>
      <c r="T9" s="22" t="s">
        <v>40</v>
      </c>
    </row>
    <row r="10">
      <c r="A10" s="13">
        <v>7.0</v>
      </c>
      <c r="B10" s="15" t="s">
        <v>43</v>
      </c>
      <c r="C10" s="13" t="s">
        <v>45</v>
      </c>
      <c r="D10" s="15" t="s">
        <v>46</v>
      </c>
      <c r="E10" s="15" t="s">
        <v>174</v>
      </c>
      <c r="F10" s="15" t="s">
        <v>247</v>
      </c>
      <c r="G10" s="15" t="s">
        <v>248</v>
      </c>
      <c r="H10" s="15" t="s">
        <v>253</v>
      </c>
      <c r="I10" s="15" t="s">
        <v>254</v>
      </c>
      <c r="J10" s="15" t="s">
        <v>247</v>
      </c>
      <c r="K10" s="33" t="s">
        <v>257</v>
      </c>
      <c r="L10" s="15" t="s">
        <v>260</v>
      </c>
      <c r="M10" s="15"/>
      <c r="N10" s="15"/>
      <c r="O10" s="15"/>
      <c r="P10" s="15"/>
      <c r="Q10" s="13" t="s">
        <v>263</v>
      </c>
      <c r="R10" s="15" t="s">
        <v>265</v>
      </c>
      <c r="S10" s="19"/>
      <c r="T10" s="22" t="s">
        <v>40</v>
      </c>
    </row>
    <row r="11">
      <c r="A11" s="13">
        <v>8.0</v>
      </c>
      <c r="B11" s="15" t="s">
        <v>43</v>
      </c>
      <c r="C11" s="13" t="s">
        <v>45</v>
      </c>
      <c r="D11" s="15" t="s">
        <v>46</v>
      </c>
      <c r="E11" s="15" t="s">
        <v>229</v>
      </c>
      <c r="F11" s="15" t="s">
        <v>230</v>
      </c>
      <c r="G11" s="15" t="s">
        <v>276</v>
      </c>
      <c r="H11" s="15" t="s">
        <v>278</v>
      </c>
      <c r="I11" s="15" t="s">
        <v>280</v>
      </c>
      <c r="J11" s="15" t="s">
        <v>281</v>
      </c>
      <c r="K11" s="13" t="s">
        <v>282</v>
      </c>
      <c r="L11" s="15" t="s">
        <v>283</v>
      </c>
      <c r="M11" s="15"/>
      <c r="N11" s="15"/>
      <c r="O11" s="15"/>
      <c r="P11" s="15"/>
      <c r="Q11" s="13" t="s">
        <v>286</v>
      </c>
      <c r="R11" s="15" t="s">
        <v>287</v>
      </c>
      <c r="S11" s="19"/>
      <c r="T11" s="22" t="s">
        <v>40</v>
      </c>
    </row>
    <row r="12">
      <c r="A12" s="13">
        <v>9.0</v>
      </c>
      <c r="B12" s="15" t="s">
        <v>43</v>
      </c>
      <c r="C12" s="13" t="s">
        <v>45</v>
      </c>
      <c r="D12" s="15" t="s">
        <v>46</v>
      </c>
      <c r="E12" s="15" t="s">
        <v>300</v>
      </c>
      <c r="F12" s="15" t="s">
        <v>301</v>
      </c>
      <c r="G12" s="15" t="s">
        <v>302</v>
      </c>
      <c r="H12" s="15" t="s">
        <v>303</v>
      </c>
      <c r="I12" s="15" t="s">
        <v>305</v>
      </c>
      <c r="J12" s="15" t="s">
        <v>306</v>
      </c>
      <c r="K12" s="13"/>
      <c r="L12" s="15"/>
      <c r="M12" s="15"/>
      <c r="N12" s="15"/>
      <c r="O12" s="15"/>
      <c r="P12" s="15"/>
      <c r="Q12" s="13" t="s">
        <v>311</v>
      </c>
      <c r="R12" s="15" t="s">
        <v>313</v>
      </c>
      <c r="S12" s="19"/>
      <c r="T12" s="22" t="s">
        <v>40</v>
      </c>
    </row>
    <row r="13">
      <c r="A13" s="14">
        <v>10.0</v>
      </c>
      <c r="B13" s="16" t="s">
        <v>44</v>
      </c>
      <c r="C13" s="14" t="s">
        <v>45</v>
      </c>
      <c r="D13" s="16" t="s">
        <v>46</v>
      </c>
      <c r="E13" s="16" t="s">
        <v>317</v>
      </c>
      <c r="F13" s="16" t="s">
        <v>318</v>
      </c>
      <c r="G13" s="16" t="s">
        <v>319</v>
      </c>
      <c r="H13" s="16" t="s">
        <v>61</v>
      </c>
      <c r="I13" s="16" t="s">
        <v>160</v>
      </c>
      <c r="J13" s="16" t="s">
        <v>320</v>
      </c>
      <c r="K13" s="32" t="s">
        <v>321</v>
      </c>
      <c r="L13" s="16" t="s">
        <v>322</v>
      </c>
      <c r="M13" s="18" t="s">
        <v>323</v>
      </c>
      <c r="N13" s="20" t="s">
        <v>325</v>
      </c>
      <c r="O13" s="18" t="s">
        <v>328</v>
      </c>
      <c r="P13" s="16"/>
      <c r="Q13" s="14" t="s">
        <v>298</v>
      </c>
      <c r="R13" s="16" t="s">
        <v>329</v>
      </c>
      <c r="S13" s="25" t="s">
        <v>330</v>
      </c>
      <c r="T13" s="22" t="s">
        <v>40</v>
      </c>
    </row>
    <row r="14">
      <c r="A14" s="14">
        <v>11.0</v>
      </c>
      <c r="B14" s="16" t="s">
        <v>44</v>
      </c>
      <c r="C14" s="14" t="s">
        <v>331</v>
      </c>
      <c r="D14" s="16" t="s">
        <v>332</v>
      </c>
      <c r="E14" s="16" t="s">
        <v>333</v>
      </c>
      <c r="F14" s="16" t="s">
        <v>334</v>
      </c>
      <c r="G14" s="16" t="s">
        <v>335</v>
      </c>
      <c r="H14" s="16" t="s">
        <v>234</v>
      </c>
      <c r="I14" s="16" t="s">
        <v>337</v>
      </c>
      <c r="J14" s="16" t="s">
        <v>339</v>
      </c>
      <c r="K14" s="35">
        <v>46096.0</v>
      </c>
      <c r="L14" s="16" t="s">
        <v>342</v>
      </c>
      <c r="M14" s="18" t="s">
        <v>343</v>
      </c>
      <c r="N14" s="18" t="s">
        <v>344</v>
      </c>
      <c r="O14" s="18" t="s">
        <v>345</v>
      </c>
      <c r="P14" s="16"/>
      <c r="Q14" s="14" t="s">
        <v>346</v>
      </c>
      <c r="R14" s="16" t="s">
        <v>348</v>
      </c>
      <c r="S14" s="19"/>
      <c r="T14" s="22" t="s">
        <v>40</v>
      </c>
    </row>
    <row r="15">
      <c r="A15" s="14">
        <v>12.0</v>
      </c>
      <c r="B15" s="16" t="s">
        <v>44</v>
      </c>
      <c r="C15" s="14" t="s">
        <v>331</v>
      </c>
      <c r="D15" s="16" t="s">
        <v>332</v>
      </c>
      <c r="E15" s="16" t="s">
        <v>333</v>
      </c>
      <c r="F15" s="16" t="s">
        <v>358</v>
      </c>
      <c r="G15" s="16" t="s">
        <v>359</v>
      </c>
      <c r="H15" s="16" t="s">
        <v>360</v>
      </c>
      <c r="I15" s="16" t="s">
        <v>362</v>
      </c>
      <c r="J15" s="16" t="s">
        <v>364</v>
      </c>
      <c r="K15" s="32" t="s">
        <v>365</v>
      </c>
      <c r="L15" s="16" t="s">
        <v>366</v>
      </c>
      <c r="M15" s="18" t="s">
        <v>367</v>
      </c>
      <c r="N15" s="18" t="s">
        <v>368</v>
      </c>
      <c r="O15" s="18" t="s">
        <v>369</v>
      </c>
      <c r="P15" s="16"/>
      <c r="Q15" s="14" t="s">
        <v>370</v>
      </c>
      <c r="R15" s="16" t="s">
        <v>371</v>
      </c>
      <c r="S15" s="25" t="s">
        <v>372</v>
      </c>
      <c r="T15" s="22" t="s">
        <v>40</v>
      </c>
    </row>
    <row r="16">
      <c r="A16" s="14">
        <v>13.0</v>
      </c>
      <c r="B16" s="16" t="s">
        <v>44</v>
      </c>
      <c r="C16" s="14" t="s">
        <v>331</v>
      </c>
      <c r="D16" s="16" t="s">
        <v>332</v>
      </c>
      <c r="E16" s="16" t="s">
        <v>333</v>
      </c>
      <c r="F16" s="16" t="s">
        <v>380</v>
      </c>
      <c r="G16" s="16" t="s">
        <v>382</v>
      </c>
      <c r="H16" s="16" t="s">
        <v>234</v>
      </c>
      <c r="I16" s="16" t="s">
        <v>383</v>
      </c>
      <c r="J16" s="16" t="s">
        <v>384</v>
      </c>
      <c r="K16" s="32" t="s">
        <v>321</v>
      </c>
      <c r="L16" s="16" t="s">
        <v>385</v>
      </c>
      <c r="M16" s="18" t="s">
        <v>387</v>
      </c>
      <c r="N16" s="18" t="s">
        <v>388</v>
      </c>
      <c r="O16" s="18" t="s">
        <v>390</v>
      </c>
      <c r="P16" s="16"/>
      <c r="Q16" s="14" t="s">
        <v>391</v>
      </c>
      <c r="R16" s="16" t="s">
        <v>392</v>
      </c>
      <c r="S16" s="19"/>
      <c r="T16" s="22" t="s">
        <v>40</v>
      </c>
    </row>
    <row r="17">
      <c r="A17" s="14">
        <v>14.0</v>
      </c>
      <c r="B17" s="16" t="s">
        <v>44</v>
      </c>
      <c r="C17" s="14" t="s">
        <v>331</v>
      </c>
      <c r="D17" s="16" t="s">
        <v>393</v>
      </c>
      <c r="E17" s="16" t="s">
        <v>394</v>
      </c>
      <c r="F17" s="16" t="s">
        <v>395</v>
      </c>
      <c r="G17" s="16" t="s">
        <v>396</v>
      </c>
      <c r="H17" s="16" t="s">
        <v>234</v>
      </c>
      <c r="I17" s="16" t="s">
        <v>398</v>
      </c>
      <c r="J17" s="16" t="s">
        <v>400</v>
      </c>
      <c r="K17" s="35">
        <v>46141.0</v>
      </c>
      <c r="L17" s="16" t="s">
        <v>70</v>
      </c>
      <c r="M17" s="18" t="s">
        <v>402</v>
      </c>
      <c r="N17" s="18" t="s">
        <v>403</v>
      </c>
      <c r="O17" s="18" t="s">
        <v>404</v>
      </c>
      <c r="P17" s="16"/>
      <c r="Q17" s="14" t="s">
        <v>311</v>
      </c>
      <c r="R17" s="16" t="s">
        <v>405</v>
      </c>
      <c r="S17" s="25" t="s">
        <v>406</v>
      </c>
      <c r="T17" s="22" t="s">
        <v>40</v>
      </c>
    </row>
    <row r="18">
      <c r="A18" s="13">
        <v>15.0</v>
      </c>
      <c r="B18" s="15" t="s">
        <v>43</v>
      </c>
      <c r="C18" s="13" t="s">
        <v>331</v>
      </c>
      <c r="D18" s="15" t="s">
        <v>393</v>
      </c>
      <c r="E18" s="15" t="s">
        <v>408</v>
      </c>
      <c r="F18" s="15" t="s">
        <v>409</v>
      </c>
      <c r="G18" s="29" t="s">
        <v>410</v>
      </c>
      <c r="H18" s="15" t="s">
        <v>411</v>
      </c>
      <c r="I18" s="15" t="s">
        <v>160</v>
      </c>
      <c r="J18" s="15" t="s">
        <v>412</v>
      </c>
      <c r="K18" s="13" t="s">
        <v>413</v>
      </c>
      <c r="L18" s="15" t="s">
        <v>414</v>
      </c>
      <c r="M18" s="15"/>
      <c r="N18" s="15"/>
      <c r="O18" s="15"/>
      <c r="P18" s="15"/>
      <c r="Q18" s="13" t="s">
        <v>391</v>
      </c>
      <c r="R18" s="15" t="s">
        <v>420</v>
      </c>
      <c r="S18" s="19"/>
      <c r="T18" s="22" t="s">
        <v>40</v>
      </c>
    </row>
    <row r="19">
      <c r="A19" s="13">
        <v>16.0</v>
      </c>
      <c r="B19" s="15" t="s">
        <v>43</v>
      </c>
      <c r="C19" s="13" t="s">
        <v>331</v>
      </c>
      <c r="D19" s="15" t="s">
        <v>428</v>
      </c>
      <c r="E19" s="15" t="s">
        <v>429</v>
      </c>
      <c r="F19" s="15" t="s">
        <v>430</v>
      </c>
      <c r="G19" s="15" t="s">
        <v>431</v>
      </c>
      <c r="H19" s="15" t="s">
        <v>432</v>
      </c>
      <c r="I19" s="15" t="s">
        <v>433</v>
      </c>
      <c r="J19" s="15" t="s">
        <v>430</v>
      </c>
      <c r="K19" s="13" t="s">
        <v>434</v>
      </c>
      <c r="L19" s="15" t="s">
        <v>435</v>
      </c>
      <c r="M19" s="15"/>
      <c r="N19" s="15"/>
      <c r="O19" s="15"/>
      <c r="P19" s="15"/>
      <c r="Q19" s="13" t="s">
        <v>437</v>
      </c>
      <c r="R19" s="15" t="s">
        <v>439</v>
      </c>
      <c r="S19" s="19"/>
      <c r="T19" s="22" t="s">
        <v>40</v>
      </c>
    </row>
    <row r="20" ht="22.5" customHeight="1">
      <c r="A20" s="13">
        <v>17.0</v>
      </c>
      <c r="B20" s="15" t="s">
        <v>43</v>
      </c>
      <c r="C20" s="13" t="s">
        <v>331</v>
      </c>
      <c r="D20" s="15" t="s">
        <v>428</v>
      </c>
      <c r="E20" s="15" t="s">
        <v>444</v>
      </c>
      <c r="F20" s="15" t="s">
        <v>445</v>
      </c>
      <c r="G20" s="15" t="s">
        <v>446</v>
      </c>
      <c r="H20" s="15" t="s">
        <v>447</v>
      </c>
      <c r="I20" s="15" t="s">
        <v>160</v>
      </c>
      <c r="J20" s="15" t="s">
        <v>448</v>
      </c>
      <c r="K20" s="13"/>
      <c r="L20" s="15"/>
      <c r="M20" s="15"/>
      <c r="N20" s="15"/>
      <c r="O20" s="15"/>
      <c r="P20" s="15"/>
      <c r="Q20" s="13" t="s">
        <v>450</v>
      </c>
      <c r="R20" s="15" t="s">
        <v>452</v>
      </c>
      <c r="S20" s="19"/>
      <c r="T20" s="22" t="s">
        <v>40</v>
      </c>
    </row>
    <row r="21" ht="15.75" customHeight="1">
      <c r="A21" s="14">
        <v>18.0</v>
      </c>
      <c r="B21" s="16" t="s">
        <v>44</v>
      </c>
      <c r="C21" s="14" t="s">
        <v>331</v>
      </c>
      <c r="D21" s="16" t="s">
        <v>428</v>
      </c>
      <c r="E21" s="16" t="s">
        <v>429</v>
      </c>
      <c r="F21" s="16" t="s">
        <v>429</v>
      </c>
      <c r="G21" s="16" t="s">
        <v>459</v>
      </c>
      <c r="H21" s="16" t="s">
        <v>129</v>
      </c>
      <c r="I21" s="16" t="s">
        <v>460</v>
      </c>
      <c r="J21" s="16" t="s">
        <v>461</v>
      </c>
      <c r="K21" s="14" t="s">
        <v>462</v>
      </c>
      <c r="L21" s="16" t="s">
        <v>136</v>
      </c>
      <c r="M21" s="18" t="s">
        <v>463</v>
      </c>
      <c r="N21" s="36" t="s">
        <v>464</v>
      </c>
      <c r="O21" s="18" t="s">
        <v>466</v>
      </c>
      <c r="P21" s="16"/>
      <c r="Q21" s="14" t="s">
        <v>467</v>
      </c>
      <c r="R21" s="16" t="s">
        <v>469</v>
      </c>
      <c r="S21" s="25" t="s">
        <v>470</v>
      </c>
      <c r="T21" s="22" t="s">
        <v>40</v>
      </c>
    </row>
    <row r="22" ht="15.75" customHeight="1">
      <c r="A22" s="13">
        <v>19.0</v>
      </c>
      <c r="B22" s="15" t="s">
        <v>43</v>
      </c>
      <c r="C22" s="13" t="s">
        <v>331</v>
      </c>
      <c r="D22" s="15" t="s">
        <v>332</v>
      </c>
      <c r="E22" s="15" t="s">
        <v>333</v>
      </c>
      <c r="F22" s="15" t="s">
        <v>476</v>
      </c>
      <c r="G22" s="15" t="s">
        <v>477</v>
      </c>
      <c r="H22" s="15" t="s">
        <v>479</v>
      </c>
      <c r="I22" s="29" t="s">
        <v>480</v>
      </c>
      <c r="J22" s="15" t="s">
        <v>481</v>
      </c>
      <c r="K22" s="38">
        <v>16438.0</v>
      </c>
      <c r="L22" s="15" t="s">
        <v>482</v>
      </c>
      <c r="M22" s="15"/>
      <c r="N22" s="15"/>
      <c r="O22" s="15"/>
      <c r="P22" s="15"/>
      <c r="Q22" s="13" t="s">
        <v>483</v>
      </c>
      <c r="R22" s="15" t="s">
        <v>484</v>
      </c>
      <c r="S22" s="19"/>
      <c r="T22" s="22" t="s">
        <v>40</v>
      </c>
    </row>
    <row r="23" ht="15.75" customHeight="1">
      <c r="A23" s="13">
        <v>20.0</v>
      </c>
      <c r="B23" s="15" t="s">
        <v>43</v>
      </c>
      <c r="C23" s="13" t="s">
        <v>331</v>
      </c>
      <c r="D23" s="15" t="s">
        <v>491</v>
      </c>
      <c r="E23" s="15" t="s">
        <v>492</v>
      </c>
      <c r="F23" s="15" t="s">
        <v>493</v>
      </c>
      <c r="G23" s="15" t="s">
        <v>494</v>
      </c>
      <c r="H23" s="15" t="s">
        <v>495</v>
      </c>
      <c r="I23" s="15" t="s">
        <v>496</v>
      </c>
      <c r="J23" s="15" t="s">
        <v>493</v>
      </c>
      <c r="K23" s="13"/>
      <c r="L23" s="15"/>
      <c r="M23" s="29" t="s">
        <v>497</v>
      </c>
      <c r="N23" s="39" t="s">
        <v>498</v>
      </c>
      <c r="O23" s="29" t="s">
        <v>499</v>
      </c>
      <c r="P23" s="15"/>
      <c r="Q23" s="13" t="s">
        <v>467</v>
      </c>
      <c r="R23" s="15"/>
      <c r="S23" s="40" t="s">
        <v>502</v>
      </c>
      <c r="T23" s="22" t="s">
        <v>40</v>
      </c>
    </row>
    <row r="24" ht="15.75" customHeight="1">
      <c r="A24" s="13">
        <v>21.0</v>
      </c>
      <c r="B24" s="15" t="s">
        <v>43</v>
      </c>
      <c r="C24" s="13" t="s">
        <v>331</v>
      </c>
      <c r="D24" s="15" t="s">
        <v>491</v>
      </c>
      <c r="E24" s="15" t="s">
        <v>492</v>
      </c>
      <c r="F24" s="15" t="s">
        <v>509</v>
      </c>
      <c r="G24" s="15" t="s">
        <v>511</v>
      </c>
      <c r="H24" s="15" t="s">
        <v>495</v>
      </c>
      <c r="I24" s="15" t="s">
        <v>514</v>
      </c>
      <c r="J24" s="15" t="s">
        <v>516</v>
      </c>
      <c r="K24" s="13"/>
      <c r="L24" s="15"/>
      <c r="M24" s="29" t="s">
        <v>519</v>
      </c>
      <c r="N24" s="29" t="s">
        <v>520</v>
      </c>
      <c r="O24" s="29" t="s">
        <v>521</v>
      </c>
      <c r="P24" s="15"/>
      <c r="Q24" s="13" t="s">
        <v>467</v>
      </c>
      <c r="R24" s="15"/>
      <c r="S24" s="40" t="s">
        <v>502</v>
      </c>
      <c r="T24" s="22" t="s">
        <v>40</v>
      </c>
    </row>
    <row r="25" ht="15.75" customHeight="1">
      <c r="A25" s="13">
        <v>22.0</v>
      </c>
      <c r="B25" s="15" t="s">
        <v>43</v>
      </c>
      <c r="C25" s="13" t="s">
        <v>331</v>
      </c>
      <c r="D25" s="15" t="s">
        <v>332</v>
      </c>
      <c r="E25" s="15" t="s">
        <v>526</v>
      </c>
      <c r="F25" s="15" t="s">
        <v>527</v>
      </c>
      <c r="G25" s="15" t="s">
        <v>528</v>
      </c>
      <c r="H25" s="15" t="s">
        <v>495</v>
      </c>
      <c r="I25" s="15" t="s">
        <v>529</v>
      </c>
      <c r="J25" s="15" t="s">
        <v>530</v>
      </c>
      <c r="K25" s="13"/>
      <c r="L25" s="15"/>
      <c r="M25" s="29" t="s">
        <v>531</v>
      </c>
      <c r="N25" s="39" t="s">
        <v>532</v>
      </c>
      <c r="O25" s="29" t="s">
        <v>533</v>
      </c>
      <c r="P25" s="15"/>
      <c r="Q25" s="13" t="s">
        <v>467</v>
      </c>
      <c r="R25" s="15" t="s">
        <v>534</v>
      </c>
      <c r="S25" s="40" t="s">
        <v>502</v>
      </c>
      <c r="T25" s="22" t="s">
        <v>40</v>
      </c>
    </row>
    <row r="26" ht="15.75" customHeight="1">
      <c r="A26" s="13">
        <v>23.0</v>
      </c>
      <c r="B26" s="15" t="s">
        <v>43</v>
      </c>
      <c r="C26" s="13" t="s">
        <v>331</v>
      </c>
      <c r="D26" s="15" t="s">
        <v>332</v>
      </c>
      <c r="E26" s="15" t="s">
        <v>539</v>
      </c>
      <c r="F26" s="15" t="s">
        <v>540</v>
      </c>
      <c r="G26" s="15" t="s">
        <v>542</v>
      </c>
      <c r="H26" s="15" t="s">
        <v>495</v>
      </c>
      <c r="I26" s="15" t="s">
        <v>543</v>
      </c>
      <c r="J26" s="15" t="s">
        <v>544</v>
      </c>
      <c r="K26" s="13"/>
      <c r="L26" s="15"/>
      <c r="M26" s="29" t="s">
        <v>545</v>
      </c>
      <c r="N26" s="39" t="s">
        <v>546</v>
      </c>
      <c r="O26" s="29" t="s">
        <v>547</v>
      </c>
      <c r="P26" s="15"/>
      <c r="Q26" s="13" t="s">
        <v>467</v>
      </c>
      <c r="R26" s="15" t="s">
        <v>548</v>
      </c>
      <c r="S26" s="40" t="s">
        <v>502</v>
      </c>
      <c r="T26" s="22" t="s">
        <v>40</v>
      </c>
    </row>
    <row r="27" ht="15.75" customHeight="1">
      <c r="A27" s="13">
        <v>24.0</v>
      </c>
      <c r="B27" s="15" t="s">
        <v>43</v>
      </c>
      <c r="C27" s="13" t="s">
        <v>331</v>
      </c>
      <c r="D27" s="15" t="s">
        <v>332</v>
      </c>
      <c r="E27" s="15" t="s">
        <v>555</v>
      </c>
      <c r="F27" s="15" t="s">
        <v>556</v>
      </c>
      <c r="G27" s="15" t="s">
        <v>557</v>
      </c>
      <c r="H27" s="15" t="s">
        <v>495</v>
      </c>
      <c r="I27" s="15" t="s">
        <v>496</v>
      </c>
      <c r="J27" s="15" t="s">
        <v>556</v>
      </c>
      <c r="K27" s="13"/>
      <c r="L27" s="15"/>
      <c r="M27" s="29" t="s">
        <v>559</v>
      </c>
      <c r="N27" s="39" t="s">
        <v>560</v>
      </c>
      <c r="O27" s="29" t="s">
        <v>561</v>
      </c>
      <c r="P27" s="15"/>
      <c r="Q27" s="13" t="s">
        <v>467</v>
      </c>
      <c r="R27" s="15" t="s">
        <v>562</v>
      </c>
      <c r="S27" s="40" t="s">
        <v>502</v>
      </c>
      <c r="T27" s="22" t="s">
        <v>40</v>
      </c>
    </row>
    <row r="28" ht="15.75" customHeight="1">
      <c r="A28" s="13">
        <v>25.0</v>
      </c>
      <c r="B28" s="15" t="s">
        <v>43</v>
      </c>
      <c r="C28" s="13" t="s">
        <v>331</v>
      </c>
      <c r="D28" s="15" t="s">
        <v>567</v>
      </c>
      <c r="E28" s="15" t="s">
        <v>567</v>
      </c>
      <c r="F28" s="15" t="s">
        <v>569</v>
      </c>
      <c r="G28" s="15" t="s">
        <v>570</v>
      </c>
      <c r="H28" s="15" t="s">
        <v>495</v>
      </c>
      <c r="I28" s="15" t="s">
        <v>496</v>
      </c>
      <c r="J28" s="15" t="s">
        <v>567</v>
      </c>
      <c r="K28" s="13"/>
      <c r="L28" s="15"/>
      <c r="M28" s="29" t="s">
        <v>573</v>
      </c>
      <c r="N28" s="39" t="s">
        <v>574</v>
      </c>
      <c r="O28" s="29" t="s">
        <v>575</v>
      </c>
      <c r="P28" s="15"/>
      <c r="Q28" s="13" t="s">
        <v>467</v>
      </c>
      <c r="R28" s="15"/>
      <c r="S28" s="40" t="s">
        <v>502</v>
      </c>
      <c r="T28" s="22" t="s">
        <v>40</v>
      </c>
    </row>
    <row r="29" ht="15.75" customHeight="1">
      <c r="A29" s="13">
        <v>26.0</v>
      </c>
      <c r="B29" s="15" t="s">
        <v>43</v>
      </c>
      <c r="C29" s="13" t="s">
        <v>331</v>
      </c>
      <c r="D29" s="15" t="s">
        <v>576</v>
      </c>
      <c r="E29" s="15" t="s">
        <v>577</v>
      </c>
      <c r="F29" s="15" t="s">
        <v>578</v>
      </c>
      <c r="G29" s="15" t="s">
        <v>579</v>
      </c>
      <c r="H29" s="15" t="s">
        <v>495</v>
      </c>
      <c r="I29" s="15" t="s">
        <v>496</v>
      </c>
      <c r="J29" s="15" t="s">
        <v>583</v>
      </c>
      <c r="K29" s="13"/>
      <c r="L29" s="15"/>
      <c r="M29" s="29" t="s">
        <v>586</v>
      </c>
      <c r="N29" s="39" t="s">
        <v>588</v>
      </c>
      <c r="O29" s="29" t="s">
        <v>590</v>
      </c>
      <c r="P29" s="15"/>
      <c r="Q29" s="13" t="s">
        <v>467</v>
      </c>
      <c r="R29" s="15"/>
      <c r="S29" s="40" t="s">
        <v>502</v>
      </c>
      <c r="T29" s="22" t="s">
        <v>40</v>
      </c>
    </row>
    <row r="30" ht="15.75" customHeight="1">
      <c r="A30" s="41">
        <v>27.0</v>
      </c>
      <c r="B30" s="41" t="s">
        <v>43</v>
      </c>
      <c r="C30" s="41" t="s">
        <v>331</v>
      </c>
      <c r="D30" s="41" t="s">
        <v>332</v>
      </c>
      <c r="E30" s="41" t="s">
        <v>333</v>
      </c>
      <c r="F30" s="41" t="s">
        <v>593</v>
      </c>
      <c r="G30" s="40" t="s">
        <v>594</v>
      </c>
      <c r="H30" s="41" t="s">
        <v>595</v>
      </c>
      <c r="I30" s="40" t="s">
        <v>596</v>
      </c>
      <c r="J30" s="40" t="s">
        <v>597</v>
      </c>
      <c r="K30" s="42">
        <v>16438.0</v>
      </c>
      <c r="L30" s="41" t="s">
        <v>598</v>
      </c>
      <c r="M30" s="41" t="s">
        <v>599</v>
      </c>
      <c r="N30" s="41" t="s">
        <v>600</v>
      </c>
      <c r="O30" s="43"/>
      <c r="P30" s="44"/>
      <c r="Q30" s="44"/>
      <c r="R30" s="41" t="s">
        <v>604</v>
      </c>
      <c r="T30" s="22" t="s">
        <v>40</v>
      </c>
    </row>
    <row r="31" ht="15.75" customHeight="1">
      <c r="A31" s="41">
        <v>28.0</v>
      </c>
      <c r="B31" s="41" t="s">
        <v>610</v>
      </c>
      <c r="C31" s="41" t="s">
        <v>331</v>
      </c>
      <c r="D31" s="41" t="s">
        <v>332</v>
      </c>
      <c r="E31" s="41" t="s">
        <v>333</v>
      </c>
      <c r="F31" s="41" t="s">
        <v>611</v>
      </c>
      <c r="G31" s="40" t="s">
        <v>612</v>
      </c>
      <c r="H31" s="41" t="s">
        <v>613</v>
      </c>
      <c r="I31" s="40" t="s">
        <v>614</v>
      </c>
      <c r="J31" s="40" t="s">
        <v>615</v>
      </c>
      <c r="K31" s="42">
        <v>16438.0</v>
      </c>
      <c r="L31" s="41" t="s">
        <v>616</v>
      </c>
      <c r="M31" s="41" t="s">
        <v>617</v>
      </c>
      <c r="N31" s="41" t="s">
        <v>618</v>
      </c>
      <c r="O31" s="43"/>
      <c r="R31" s="41" t="s">
        <v>619</v>
      </c>
      <c r="T31" s="22" t="s">
        <v>40</v>
      </c>
    </row>
    <row r="32" ht="15.75" customHeight="1">
      <c r="A32" s="41">
        <v>29.0</v>
      </c>
      <c r="B32" s="41" t="s">
        <v>610</v>
      </c>
      <c r="C32" s="41" t="s">
        <v>331</v>
      </c>
      <c r="D32" s="41" t="s">
        <v>332</v>
      </c>
      <c r="E32" s="41" t="s">
        <v>333</v>
      </c>
      <c r="F32" s="41" t="s">
        <v>626</v>
      </c>
      <c r="G32" s="40" t="s">
        <v>628</v>
      </c>
      <c r="H32" s="41" t="s">
        <v>613</v>
      </c>
      <c r="I32" s="40" t="s">
        <v>629</v>
      </c>
      <c r="J32" s="40" t="s">
        <v>630</v>
      </c>
      <c r="K32" s="45">
        <v>16462.0</v>
      </c>
      <c r="L32" s="41" t="s">
        <v>616</v>
      </c>
      <c r="M32" s="41" t="s">
        <v>631</v>
      </c>
      <c r="N32" s="41" t="s">
        <v>632</v>
      </c>
      <c r="O32" s="43"/>
      <c r="R32" s="41" t="s">
        <v>634</v>
      </c>
      <c r="T32" s="22" t="s">
        <v>40</v>
      </c>
    </row>
    <row r="33" ht="15.75" customHeight="1">
      <c r="A33" s="41">
        <v>30.0</v>
      </c>
      <c r="B33" s="41" t="s">
        <v>610</v>
      </c>
      <c r="C33" s="41" t="s">
        <v>331</v>
      </c>
      <c r="D33" s="41" t="s">
        <v>332</v>
      </c>
      <c r="E33" s="41" t="s">
        <v>333</v>
      </c>
      <c r="F33" s="41" t="s">
        <v>636</v>
      </c>
      <c r="G33" s="40" t="s">
        <v>637</v>
      </c>
      <c r="H33" s="41" t="s">
        <v>638</v>
      </c>
      <c r="I33" s="40" t="s">
        <v>614</v>
      </c>
      <c r="J33" s="40" t="s">
        <v>639</v>
      </c>
      <c r="K33" s="42">
        <v>16438.0</v>
      </c>
      <c r="L33" s="41" t="s">
        <v>640</v>
      </c>
      <c r="M33" s="41" t="s">
        <v>641</v>
      </c>
      <c r="N33" s="41" t="s">
        <v>642</v>
      </c>
      <c r="O33" s="43"/>
      <c r="R33" s="46" t="s">
        <v>644</v>
      </c>
      <c r="T33" s="22" t="s">
        <v>40</v>
      </c>
    </row>
    <row r="34" ht="15.75" customHeight="1">
      <c r="A34" s="47">
        <v>31.0</v>
      </c>
      <c r="B34" s="43" t="s">
        <v>43</v>
      </c>
      <c r="C34" s="43" t="s">
        <v>331</v>
      </c>
      <c r="D34" s="43" t="s">
        <v>332</v>
      </c>
      <c r="E34" s="43" t="s">
        <v>333</v>
      </c>
      <c r="F34" s="43" t="s">
        <v>657</v>
      </c>
      <c r="G34" s="40" t="s">
        <v>658</v>
      </c>
      <c r="H34" s="43" t="s">
        <v>234</v>
      </c>
      <c r="I34" s="40" t="s">
        <v>660</v>
      </c>
      <c r="J34" s="19" t="s">
        <v>661</v>
      </c>
      <c r="K34" s="43" t="s">
        <v>662</v>
      </c>
      <c r="L34" s="43" t="s">
        <v>663</v>
      </c>
      <c r="M34" s="41" t="s">
        <v>665</v>
      </c>
      <c r="N34" s="48"/>
      <c r="O34" s="43" t="s">
        <v>523</v>
      </c>
      <c r="R34" s="41" t="s">
        <v>669</v>
      </c>
      <c r="T34" s="22" t="s">
        <v>40</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R$34"/>
  <mergeCells count="2">
    <mergeCell ref="A1:R1"/>
    <mergeCell ref="A2:R2"/>
  </mergeCells>
  <hyperlinks>
    <hyperlink r:id="rId1" ref="T5"/>
    <hyperlink r:id="rId2" ref="T6"/>
    <hyperlink r:id="rId3" ref="T7"/>
    <hyperlink r:id="rId4" ref="N8"/>
    <hyperlink r:id="rId5" ref="T8"/>
    <hyperlink r:id="rId6" ref="T9"/>
    <hyperlink r:id="rId7" ref="T10"/>
    <hyperlink r:id="rId8" ref="T11"/>
    <hyperlink r:id="rId9" ref="T12"/>
    <hyperlink r:id="rId10" ref="N13"/>
    <hyperlink r:id="rId11" ref="T13"/>
    <hyperlink r:id="rId12" ref="T14"/>
    <hyperlink r:id="rId13" ref="T15"/>
    <hyperlink r:id="rId14" ref="T16"/>
    <hyperlink r:id="rId15" ref="T17"/>
    <hyperlink r:id="rId16" ref="T18"/>
    <hyperlink r:id="rId17" ref="T19"/>
    <hyperlink r:id="rId18" ref="T20"/>
    <hyperlink r:id="rId19" ref="T21"/>
    <hyperlink r:id="rId20" ref="T22"/>
    <hyperlink r:id="rId21" ref="T23"/>
    <hyperlink r:id="rId22" ref="T24"/>
    <hyperlink r:id="rId23" ref="T25"/>
    <hyperlink r:id="rId24" ref="T26"/>
    <hyperlink r:id="rId25" ref="T27"/>
    <hyperlink r:id="rId26" ref="T28"/>
    <hyperlink r:id="rId27" ref="T29"/>
    <hyperlink r:id="rId28" ref="T30"/>
    <hyperlink r:id="rId29" ref="T31"/>
    <hyperlink r:id="rId30" ref="T32"/>
    <hyperlink r:id="rId31" ref="R33"/>
    <hyperlink r:id="rId32" ref="T33"/>
    <hyperlink r:id="rId33" ref="T34"/>
  </hyperlinks>
  <printOptions/>
  <pageMargins bottom="1.0" footer="0.0" header="0.0" left="0.75" right="0.75" top="1.0"/>
  <pageSetup orientation="landscape"/>
  <drawing r:id="rId3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15.0"/>
    <col customWidth="1" min="3" max="3" width="14.0"/>
    <col customWidth="1" min="4" max="4" width="13.0"/>
    <col customWidth="1" min="5" max="5" width="15.0"/>
    <col customWidth="1" min="6" max="6" width="16.0"/>
    <col customWidth="1" min="7" max="7" width="40.0"/>
    <col customWidth="1" min="8" max="8" width="16.0"/>
    <col customWidth="1" min="9" max="9" width="26.0"/>
    <col customWidth="1" min="10" max="10" width="34.0"/>
    <col customWidth="1" min="11" max="12" width="20.0"/>
    <col customWidth="1" min="13" max="13" width="41.71"/>
    <col customWidth="1" min="14" max="14" width="22.0"/>
    <col customWidth="1" min="15" max="15" width="49.71"/>
    <col customWidth="1" min="16" max="16" width="24.0"/>
    <col customWidth="1" min="17" max="17" width="10.0"/>
    <col customWidth="1" min="18" max="18" width="44.0"/>
    <col customWidth="1" min="19" max="22" width="8.71"/>
  </cols>
  <sheetData>
    <row r="1" ht="24.0" customHeight="1">
      <c r="A1" s="4" t="s">
        <v>7</v>
      </c>
    </row>
    <row r="2" ht="15.75" customHeight="1">
      <c r="A2" s="6" t="s">
        <v>12</v>
      </c>
    </row>
    <row r="3" ht="30.0" customHeight="1">
      <c r="A3" s="9" t="s">
        <v>9</v>
      </c>
      <c r="B3" s="9" t="s">
        <v>13</v>
      </c>
      <c r="C3" s="9" t="s">
        <v>15</v>
      </c>
      <c r="D3" s="9" t="s">
        <v>16</v>
      </c>
      <c r="E3" s="9" t="s">
        <v>18</v>
      </c>
      <c r="F3" s="9" t="s">
        <v>20</v>
      </c>
      <c r="G3" s="9" t="s">
        <v>21</v>
      </c>
      <c r="H3" s="9" t="s">
        <v>23</v>
      </c>
      <c r="I3" s="9" t="s">
        <v>25</v>
      </c>
      <c r="J3" s="9" t="s">
        <v>26</v>
      </c>
      <c r="K3" s="9" t="s">
        <v>28</v>
      </c>
      <c r="L3" s="9" t="s">
        <v>30</v>
      </c>
      <c r="M3" s="9" t="s">
        <v>31</v>
      </c>
      <c r="N3" s="9" t="s">
        <v>32</v>
      </c>
      <c r="O3" s="9" t="s">
        <v>33</v>
      </c>
      <c r="P3" s="9" t="s">
        <v>34</v>
      </c>
      <c r="Q3" s="9" t="s">
        <v>35</v>
      </c>
      <c r="R3" s="9" t="s">
        <v>36</v>
      </c>
      <c r="S3" s="9" t="s">
        <v>38</v>
      </c>
      <c r="T3" s="9" t="s">
        <v>40</v>
      </c>
    </row>
    <row r="4">
      <c r="A4" s="13">
        <v>1.0</v>
      </c>
      <c r="B4" s="15" t="s">
        <v>43</v>
      </c>
      <c r="C4" s="13" t="s">
        <v>45</v>
      </c>
      <c r="D4" s="15" t="s">
        <v>46</v>
      </c>
      <c r="E4" s="15" t="s">
        <v>47</v>
      </c>
      <c r="F4" s="15" t="s">
        <v>49</v>
      </c>
      <c r="G4" s="15" t="s">
        <v>52</v>
      </c>
      <c r="H4" s="15" t="s">
        <v>55</v>
      </c>
      <c r="I4" s="15" t="s">
        <v>57</v>
      </c>
      <c r="J4" s="15" t="s">
        <v>60</v>
      </c>
      <c r="K4" s="13" t="s">
        <v>63</v>
      </c>
      <c r="L4" s="15" t="s">
        <v>65</v>
      </c>
      <c r="M4" s="15"/>
      <c r="N4" s="15"/>
      <c r="O4" s="15"/>
      <c r="P4" s="15"/>
      <c r="Q4" s="13" t="s">
        <v>72</v>
      </c>
      <c r="R4" s="15" t="s">
        <v>73</v>
      </c>
      <c r="T4" s="22" t="str">
        <f t="array" ref="T4:T13">IF(G4:G13="","",HYPERLINK("https://www.google.com/maps/search/?api=1&amp;query="&amp;ENCODEURL(G4:G13&amp;", "&amp;F4:F13&amp;", "&amp;E4:E13&amp;", "&amp;D4:D13),"Map"))</f>
        <v>Map</v>
      </c>
    </row>
    <row r="5">
      <c r="A5" s="14">
        <v>2.0</v>
      </c>
      <c r="B5" s="16" t="s">
        <v>44</v>
      </c>
      <c r="C5" s="14" t="s">
        <v>45</v>
      </c>
      <c r="D5" s="16" t="s">
        <v>46</v>
      </c>
      <c r="E5" s="16" t="s">
        <v>82</v>
      </c>
      <c r="F5" s="16" t="s">
        <v>83</v>
      </c>
      <c r="G5" s="16" t="s">
        <v>84</v>
      </c>
      <c r="H5" s="16" t="s">
        <v>86</v>
      </c>
      <c r="I5" s="16" t="s">
        <v>88</v>
      </c>
      <c r="J5" s="16" t="s">
        <v>91</v>
      </c>
      <c r="K5" s="14" t="s">
        <v>93</v>
      </c>
      <c r="L5" s="16" t="s">
        <v>95</v>
      </c>
      <c r="M5" s="18" t="s">
        <v>98</v>
      </c>
      <c r="N5" s="20" t="s">
        <v>101</v>
      </c>
      <c r="O5" s="18" t="s">
        <v>113</v>
      </c>
      <c r="P5" s="16"/>
      <c r="Q5" s="14" t="s">
        <v>114</v>
      </c>
      <c r="R5" s="16" t="s">
        <v>116</v>
      </c>
      <c r="S5" s="21" t="s">
        <v>119</v>
      </c>
      <c r="T5" s="22" t="s">
        <v>40</v>
      </c>
    </row>
    <row r="6">
      <c r="A6" s="13">
        <v>3.0</v>
      </c>
      <c r="B6" s="15" t="s">
        <v>43</v>
      </c>
      <c r="C6" s="13" t="s">
        <v>45</v>
      </c>
      <c r="D6" s="15" t="s">
        <v>46</v>
      </c>
      <c r="E6" s="15" t="s">
        <v>120</v>
      </c>
      <c r="F6" s="15" t="s">
        <v>121</v>
      </c>
      <c r="G6" s="15" t="s">
        <v>123</v>
      </c>
      <c r="H6" s="15" t="s">
        <v>125</v>
      </c>
      <c r="I6" s="15" t="s">
        <v>88</v>
      </c>
      <c r="J6" s="15" t="s">
        <v>121</v>
      </c>
      <c r="K6" s="13" t="s">
        <v>131</v>
      </c>
      <c r="L6" s="15" t="s">
        <v>137</v>
      </c>
      <c r="M6" s="15"/>
      <c r="N6" s="15"/>
      <c r="O6" s="15"/>
      <c r="P6" s="15"/>
      <c r="Q6" s="13" t="s">
        <v>138</v>
      </c>
      <c r="R6" s="15" t="s">
        <v>142</v>
      </c>
      <c r="T6" s="22" t="s">
        <v>40</v>
      </c>
    </row>
    <row r="7">
      <c r="A7" s="14">
        <v>4.0</v>
      </c>
      <c r="B7" s="16" t="s">
        <v>44</v>
      </c>
      <c r="C7" s="14" t="s">
        <v>45</v>
      </c>
      <c r="D7" s="16" t="s">
        <v>46</v>
      </c>
      <c r="E7" s="16" t="s">
        <v>51</v>
      </c>
      <c r="F7" s="16" t="s">
        <v>144</v>
      </c>
      <c r="G7" s="16" t="s">
        <v>146</v>
      </c>
      <c r="H7" s="16" t="s">
        <v>86</v>
      </c>
      <c r="I7" s="16" t="s">
        <v>88</v>
      </c>
      <c r="J7" s="16" t="s">
        <v>148</v>
      </c>
      <c r="K7" s="14" t="s">
        <v>151</v>
      </c>
      <c r="L7" s="16" t="s">
        <v>153</v>
      </c>
      <c r="M7" s="18" t="s">
        <v>156</v>
      </c>
      <c r="N7" s="18" t="s">
        <v>159</v>
      </c>
      <c r="O7" s="18" t="s">
        <v>161</v>
      </c>
      <c r="P7" s="16"/>
      <c r="Q7" s="14" t="s">
        <v>138</v>
      </c>
      <c r="R7" s="16" t="s">
        <v>165</v>
      </c>
      <c r="S7" s="21" t="s">
        <v>167</v>
      </c>
      <c r="T7" s="22" t="s">
        <v>40</v>
      </c>
    </row>
    <row r="8">
      <c r="A8" s="13">
        <v>5.0</v>
      </c>
      <c r="B8" s="15" t="s">
        <v>43</v>
      </c>
      <c r="C8" s="13" t="s">
        <v>45</v>
      </c>
      <c r="D8" s="15" t="s">
        <v>46</v>
      </c>
      <c r="E8" s="15" t="s">
        <v>174</v>
      </c>
      <c r="F8" s="15" t="s">
        <v>175</v>
      </c>
      <c r="G8" s="15" t="s">
        <v>176</v>
      </c>
      <c r="H8" s="15" t="s">
        <v>177</v>
      </c>
      <c r="I8" s="15" t="s">
        <v>88</v>
      </c>
      <c r="J8" s="15" t="s">
        <v>178</v>
      </c>
      <c r="K8" s="13" t="s">
        <v>179</v>
      </c>
      <c r="L8" s="15" t="s">
        <v>180</v>
      </c>
      <c r="M8" s="15"/>
      <c r="N8" s="15"/>
      <c r="O8" s="15"/>
      <c r="P8" s="15"/>
      <c r="Q8" s="13" t="s">
        <v>181</v>
      </c>
      <c r="R8" s="15" t="s">
        <v>182</v>
      </c>
      <c r="T8" s="22" t="s">
        <v>40</v>
      </c>
    </row>
    <row r="9">
      <c r="A9" s="14">
        <v>6.0</v>
      </c>
      <c r="B9" s="16" t="s">
        <v>44</v>
      </c>
      <c r="C9" s="14" t="s">
        <v>45</v>
      </c>
      <c r="D9" s="16" t="s">
        <v>46</v>
      </c>
      <c r="E9" s="16" t="s">
        <v>143</v>
      </c>
      <c r="F9" s="16" t="s">
        <v>198</v>
      </c>
      <c r="G9" s="16" t="s">
        <v>199</v>
      </c>
      <c r="H9" s="16" t="s">
        <v>200</v>
      </c>
      <c r="I9" s="16" t="s">
        <v>88</v>
      </c>
      <c r="J9" s="16" t="s">
        <v>202</v>
      </c>
      <c r="K9" s="14" t="s">
        <v>204</v>
      </c>
      <c r="L9" s="16" t="s">
        <v>206</v>
      </c>
      <c r="M9" s="18" t="s">
        <v>207</v>
      </c>
      <c r="N9" s="20" t="s">
        <v>209</v>
      </c>
      <c r="O9" s="18" t="s">
        <v>212</v>
      </c>
      <c r="P9" s="16"/>
      <c r="Q9" s="14" t="s">
        <v>213</v>
      </c>
      <c r="R9" s="16" t="s">
        <v>214</v>
      </c>
      <c r="S9" s="21" t="s">
        <v>215</v>
      </c>
      <c r="T9" s="22" t="s">
        <v>40</v>
      </c>
    </row>
    <row r="10">
      <c r="A10" s="13">
        <v>7.0</v>
      </c>
      <c r="B10" s="15" t="s">
        <v>43</v>
      </c>
      <c r="C10" s="13" t="s">
        <v>45</v>
      </c>
      <c r="D10" s="15" t="s">
        <v>46</v>
      </c>
      <c r="E10" s="15" t="s">
        <v>229</v>
      </c>
      <c r="F10" s="15" t="s">
        <v>230</v>
      </c>
      <c r="G10" s="15" t="s">
        <v>232</v>
      </c>
      <c r="H10" s="15" t="s">
        <v>234</v>
      </c>
      <c r="I10" s="15" t="s">
        <v>235</v>
      </c>
      <c r="J10" s="15" t="s">
        <v>237</v>
      </c>
      <c r="K10" s="13" t="s">
        <v>238</v>
      </c>
      <c r="L10" s="15" t="s">
        <v>65</v>
      </c>
      <c r="M10" s="15"/>
      <c r="N10" s="15"/>
      <c r="O10" s="15"/>
      <c r="P10" s="15"/>
      <c r="Q10" s="13" t="s">
        <v>241</v>
      </c>
      <c r="R10" s="15" t="s">
        <v>242</v>
      </c>
      <c r="T10" s="22" t="s">
        <v>40</v>
      </c>
    </row>
    <row r="11">
      <c r="A11" s="13">
        <v>8.0</v>
      </c>
      <c r="B11" s="15" t="s">
        <v>43</v>
      </c>
      <c r="C11" s="13" t="s">
        <v>45</v>
      </c>
      <c r="D11" s="15" t="s">
        <v>46</v>
      </c>
      <c r="E11" s="15" t="s">
        <v>243</v>
      </c>
      <c r="F11" s="15" t="s">
        <v>250</v>
      </c>
      <c r="G11" s="15" t="s">
        <v>252</v>
      </c>
      <c r="H11" s="15" t="s">
        <v>234</v>
      </c>
      <c r="I11" s="15" t="s">
        <v>160</v>
      </c>
      <c r="J11" s="15" t="s">
        <v>255</v>
      </c>
      <c r="K11" s="13" t="s">
        <v>256</v>
      </c>
      <c r="L11" s="15" t="s">
        <v>258</v>
      </c>
      <c r="M11" s="15"/>
      <c r="N11" s="15"/>
      <c r="O11" s="15"/>
      <c r="P11" s="15"/>
      <c r="Q11" s="13" t="s">
        <v>262</v>
      </c>
      <c r="R11" s="15" t="s">
        <v>264</v>
      </c>
      <c r="T11" s="22" t="s">
        <v>40</v>
      </c>
    </row>
    <row r="12">
      <c r="A12" s="13">
        <v>9.0</v>
      </c>
      <c r="B12" s="15" t="s">
        <v>43</v>
      </c>
      <c r="C12" s="13" t="s">
        <v>45</v>
      </c>
      <c r="D12" s="15" t="s">
        <v>46</v>
      </c>
      <c r="E12" s="15" t="s">
        <v>266</v>
      </c>
      <c r="F12" s="15" t="s">
        <v>269</v>
      </c>
      <c r="G12" s="15" t="s">
        <v>271</v>
      </c>
      <c r="H12" s="15" t="s">
        <v>234</v>
      </c>
      <c r="I12" s="15" t="s">
        <v>272</v>
      </c>
      <c r="J12" s="15" t="s">
        <v>274</v>
      </c>
      <c r="K12" s="13" t="s">
        <v>277</v>
      </c>
      <c r="L12" s="15" t="s">
        <v>279</v>
      </c>
      <c r="M12" s="15"/>
      <c r="N12" s="15"/>
      <c r="O12" s="15"/>
      <c r="P12" s="15"/>
      <c r="Q12" s="13" t="s">
        <v>262</v>
      </c>
      <c r="R12" s="15"/>
      <c r="T12" s="22" t="s">
        <v>40</v>
      </c>
    </row>
    <row r="13">
      <c r="A13" s="13">
        <v>10.0</v>
      </c>
      <c r="B13" s="15" t="s">
        <v>43</v>
      </c>
      <c r="C13" s="13" t="s">
        <v>45</v>
      </c>
      <c r="D13" s="15" t="s">
        <v>46</v>
      </c>
      <c r="E13" s="15" t="s">
        <v>288</v>
      </c>
      <c r="F13" s="15" t="s">
        <v>289</v>
      </c>
      <c r="G13" s="15" t="s">
        <v>290</v>
      </c>
      <c r="H13" s="15" t="s">
        <v>291</v>
      </c>
      <c r="I13" s="15" t="s">
        <v>160</v>
      </c>
      <c r="J13" s="15" t="s">
        <v>293</v>
      </c>
      <c r="K13" s="13" t="s">
        <v>295</v>
      </c>
      <c r="L13" s="15" t="s">
        <v>297</v>
      </c>
      <c r="M13" s="15"/>
      <c r="N13" s="15"/>
      <c r="O13" s="15"/>
      <c r="P13" s="15"/>
      <c r="Q13" s="13" t="s">
        <v>298</v>
      </c>
      <c r="R13" s="15" t="s">
        <v>299</v>
      </c>
      <c r="T13" s="22" t="s">
        <v>40</v>
      </c>
    </row>
    <row r="14">
      <c r="A14" s="34"/>
      <c r="B14" s="34"/>
      <c r="C14" s="34"/>
      <c r="D14" s="34"/>
      <c r="E14" s="34"/>
      <c r="F14" s="34"/>
      <c r="G14" s="34"/>
      <c r="H14" s="34"/>
      <c r="I14" s="34"/>
      <c r="J14" s="34"/>
      <c r="K14" s="34"/>
      <c r="L14" s="34"/>
      <c r="M14" s="34"/>
      <c r="N14" s="34"/>
      <c r="O14" s="34"/>
      <c r="P14" s="34"/>
      <c r="Q14" s="34"/>
      <c r="R14" s="34"/>
      <c r="S14" s="34"/>
      <c r="T14" s="34"/>
      <c r="U14" s="34"/>
      <c r="V14" s="3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R$13"/>
  <mergeCells count="2">
    <mergeCell ref="A1:R1"/>
    <mergeCell ref="A2:R2"/>
  </mergeCells>
  <hyperlinks>
    <hyperlink r:id="rId1" ref="N5"/>
    <hyperlink r:id="rId2" ref="T5"/>
    <hyperlink r:id="rId3" ref="T6"/>
    <hyperlink r:id="rId4" ref="T7"/>
    <hyperlink r:id="rId5" ref="T8"/>
    <hyperlink r:id="rId6" ref="N9"/>
    <hyperlink r:id="rId7" ref="T9"/>
    <hyperlink r:id="rId8" ref="T10"/>
    <hyperlink r:id="rId9" ref="T11"/>
    <hyperlink r:id="rId10" ref="T12"/>
    <hyperlink r:id="rId11" ref="T13"/>
  </hyperlinks>
  <printOptions/>
  <pageMargins bottom="1.0" footer="0.0" header="0.0" left="0.75" right="0.75" top="1.0"/>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4.43" defaultRowHeight="15.0"/>
  <cols>
    <col customWidth="1" min="1" max="1" width="8.71"/>
    <col customWidth="1" min="2" max="2" width="31.86"/>
    <col customWidth="1" min="3" max="3" width="12.43"/>
    <col customWidth="1" min="5" max="5" width="37.43"/>
    <col customWidth="1" min="6" max="6" width="26.71"/>
    <col customWidth="1" min="7" max="7" width="60.86"/>
  </cols>
  <sheetData>
    <row r="1">
      <c r="A1" s="23" t="s">
        <v>81</v>
      </c>
      <c r="B1" s="24"/>
      <c r="C1" s="24"/>
      <c r="D1" s="24"/>
      <c r="E1" s="24"/>
      <c r="F1" s="24"/>
      <c r="G1" s="24"/>
      <c r="H1" s="24"/>
      <c r="I1" s="24"/>
      <c r="J1" s="24"/>
      <c r="K1" s="24"/>
      <c r="L1" s="24"/>
      <c r="M1" s="24"/>
      <c r="N1" s="24"/>
      <c r="O1" s="24"/>
      <c r="P1" s="24"/>
      <c r="Q1" s="24"/>
      <c r="R1" s="24"/>
      <c r="S1" s="24"/>
      <c r="T1" s="24"/>
      <c r="U1" s="24"/>
      <c r="V1" s="24"/>
      <c r="W1" s="24"/>
      <c r="X1" s="24"/>
      <c r="Y1" s="24"/>
      <c r="Z1" s="24"/>
    </row>
    <row r="3">
      <c r="A3" s="26" t="str">
        <f>IFERROR(__xludf.DUMMYFUNCTION("{{""Send Date"",""Memorial"",""City / Town"",""Country"",""Contact / Authority"",""Phone / Email"",""Florist / Ordering""};SORT({QUERY('WWI Memorials'!A4:S76,""select S,G,F,D,M,N,O where S is not null"",0);QUERY('WWII Memorials'!A4:S29,""select S,G,F,D,M,"&amp;"N,O where S is not null"",0);QUERY('Chapters &amp; MacArthur'!A4:S13,""select S,G,F,D,M,N,O where S is not null"",0)},1,1)}"),"Send Date")</f>
        <v>Send Date</v>
      </c>
      <c r="B3" s="26" t="str">
        <f>IFERROR(__xludf.DUMMYFUNCTION("""COMPUTED_VALUE"""),"Memorial")</f>
        <v>Memorial</v>
      </c>
      <c r="C3" s="26" t="str">
        <f>IFERROR(__xludf.DUMMYFUNCTION("""COMPUTED_VALUE"""),"City / Town")</f>
        <v>City / Town</v>
      </c>
      <c r="D3" s="26" t="str">
        <f>IFERROR(__xludf.DUMMYFUNCTION("""COMPUTED_VALUE"""),"Country")</f>
        <v>Country</v>
      </c>
      <c r="E3" s="26" t="str">
        <f>IFERROR(__xludf.DUMMYFUNCTION("""COMPUTED_VALUE"""),"Contact / Authority")</f>
        <v>Contact / Authority</v>
      </c>
      <c r="F3" s="26" t="str">
        <f>IFERROR(__xludf.DUMMYFUNCTION("""COMPUTED_VALUE"""),"Phone / Email")</f>
        <v>Phone / Email</v>
      </c>
      <c r="G3" s="27" t="str">
        <f>IFERROR(__xludf.DUMMYFUNCTION("""COMPUTED_VALUE"""),"Florist / Ordering")</f>
        <v>Florist / Ordering</v>
      </c>
      <c r="H3" s="28" t="s">
        <v>40</v>
      </c>
    </row>
    <row r="4">
      <c r="A4" s="19" t="str">
        <f>IFERROR(__xludf.DUMMYFUNCTION("""COMPUTED_VALUE"""),"01-09")</f>
        <v>01-09</v>
      </c>
      <c r="B4" s="19" t="str">
        <f>IFERROR(__xludf.DUMMYFUNCTION("""COMPUTED_VALUE"""),"The 242nd Infantry Bench (Hatten-Rittershoffen)")</f>
        <v>The 242nd Infantry Bench (Hatten-Rittershoffen)</v>
      </c>
      <c r="C4" s="19" t="str">
        <f>IFERROR(__xludf.DUMMYFUNCTION("""COMPUTED_VALUE"""),"Hatten")</f>
        <v>Hatten</v>
      </c>
      <c r="D4" s="19" t="str">
        <f>IFERROR(__xludf.DUMMYFUNCTION("""COMPUTED_VALUE"""),"France")</f>
        <v>France</v>
      </c>
      <c r="E4" s="19" t="str">
        <f>IFERROR(__xludf.DUMMYFUNCTION("""COMPUTED_VALUE"""),"Maire Benjamin Rapp, Hatten, Bas-Rhin, France (2026)")</f>
        <v>Maire Benjamin Rapp, Hatten, Bas-Rhin, France (2026)</v>
      </c>
      <c r="F4" s="19" t="str">
        <f>IFERROR(__xludf.DUMMYFUNCTION("""COMPUTED_VALUE"""),"03 88 80 00 26; mairie@hatten-alsace.com")</f>
        <v>03 88 80 00 26; mairie@hatten-alsace.com</v>
      </c>
      <c r="G4" s="19" t="str">
        <f>IFERROR(__xludf.DUMMYFUNCTION("""COMPUTED_VALUE"""),"Myl'Fleurs, 160A route de Hatten, 67690 Rittershoffen, +33 3 88 05 04 39")</f>
        <v>Myl'Fleurs, 160A route de Hatten, 67690 Rittershoffen, +33 3 88 05 04 39</v>
      </c>
      <c r="H4" s="30" t="str">
        <f t="array" ref="H4:H80">IF(B4:B80="","",HYPERLINK("https://www.google.com/maps/search/?api=1&amp;query="&amp;ENCODEURL(B4:B80&amp;", "&amp;C4:C80&amp;", "&amp;D4:D80),"Map"))</f>
        <v>Map</v>
      </c>
      <c r="I4" s="19"/>
      <c r="J4" s="19"/>
      <c r="K4" s="19"/>
      <c r="L4" s="19"/>
      <c r="M4" s="19"/>
      <c r="N4" s="19"/>
      <c r="O4" s="19"/>
      <c r="P4" s="19"/>
      <c r="Q4" s="19"/>
      <c r="R4" s="19"/>
      <c r="S4" s="19"/>
      <c r="T4" s="19"/>
      <c r="U4" s="19"/>
      <c r="V4" s="19"/>
      <c r="W4" s="19"/>
      <c r="X4" s="19"/>
      <c r="Y4" s="19"/>
      <c r="Z4" s="19"/>
    </row>
    <row r="5">
      <c r="A5" s="19" t="str">
        <f>IFERROR(__xludf.DUMMYFUNCTION("""COMPUTED_VALUE"""),"03-08")</f>
        <v>03-08</v>
      </c>
      <c r="B5" s="19" t="str">
        <f>IFERROR(__xludf.DUMMYFUNCTION("""COMPUTED_VALUE"""),"Grave of Major General Harry J. Collins")</f>
        <v>Grave of Major General Harry J. Collins</v>
      </c>
      <c r="C5" s="19" t="str">
        <f>IFERROR(__xludf.DUMMYFUNCTION("""COMPUTED_VALUE"""),"Salzburg")</f>
        <v>Salzburg</v>
      </c>
      <c r="D5" s="19" t="str">
        <f>IFERROR(__xludf.DUMMYFUNCTION("""COMPUTED_VALUE"""),"Austria")</f>
        <v>Austria</v>
      </c>
      <c r="E5" s="19" t="str">
        <f>IFERROR(__xludf.DUMMYFUNCTION("""COMPUTED_VALUE"""),"Bürgermeister Bernhard Auinger, Stadt Salzburg, Austria")</f>
        <v>Bürgermeister Bernhard Auinger, Stadt Salzburg, Austria</v>
      </c>
      <c r="F5" s="19" t="str">
        <f>IFERROR(__xludf.DUMMYFUNCTION("""COMPUTED_VALUE"""),"+43 662 8072-0; post@stadt-salzburg.at")</f>
        <v>+43 662 8072-0; post@stadt-salzburg.at</v>
      </c>
      <c r="G5" s="19" t="str">
        <f>IFERROR(__xludf.DUMMYFUNCTION("""COMPUTED_VALUE"""),"Blumen Neuhauser, Imbergstraße 33a, 5020 Salzburg, +43 662 640490")</f>
        <v>Blumen Neuhauser, Imbergstraße 33a, 5020 Salzburg, +43 662 640490</v>
      </c>
      <c r="H5" s="30" t="s">
        <v>40</v>
      </c>
      <c r="I5" s="19"/>
      <c r="J5" s="19"/>
      <c r="K5" s="19"/>
      <c r="L5" s="19"/>
      <c r="M5" s="19"/>
      <c r="N5" s="19"/>
      <c r="O5" s="19"/>
      <c r="P5" s="19"/>
      <c r="Q5" s="19"/>
      <c r="R5" s="19"/>
      <c r="S5" s="19"/>
      <c r="T5" s="19"/>
      <c r="U5" s="19"/>
      <c r="V5" s="19"/>
      <c r="W5" s="19"/>
      <c r="X5" s="19"/>
      <c r="Y5" s="19"/>
      <c r="Z5" s="19"/>
    </row>
    <row r="6">
      <c r="A6" s="19" t="str">
        <f>IFERROR(__xludf.DUMMYFUNCTION("""COMPUTED_VALUE"""),"03-15")</f>
        <v>03-15</v>
      </c>
      <c r="B6" s="19" t="str">
        <f>IFERROR(__xludf.DUMMYFUNCTION("""COMPUTED_VALUE"""),"Brigadier General Henning Linden Grave")</f>
        <v>Brigadier General Henning Linden Grave</v>
      </c>
      <c r="C6" s="19" t="str">
        <f>IFERROR(__xludf.DUMMYFUNCTION("""COMPUTED_VALUE"""),"Arlington")</f>
        <v>Arlington</v>
      </c>
      <c r="D6" s="19" t="str">
        <f>IFERROR(__xludf.DUMMYFUNCTION("""COMPUTED_VALUE"""),"USA")</f>
        <v>USA</v>
      </c>
      <c r="E6" s="19" t="str">
        <f>IFERROR(__xludf.DUMMYFUNCTION("""COMPUTED_VALUE"""),"Arlington National Cemetery, U.S. Army (Exec. Dir., ANMC [verify])")</f>
        <v>Arlington National Cemetery, U.S. Army (Exec. Dir., ANMC [verify])</v>
      </c>
      <c r="F6" s="19" t="str">
        <f>IFERROR(__xludf.DUMMYFUNCTION("""COMPUTED_VALUE"""),"1-877-907-8585; arlingtoncemetery.mil/contact")</f>
        <v>1-877-907-8585; arlingtoncemetery.mil/contact</v>
      </c>
      <c r="G6" s="19" t="str">
        <f>IFERROR(__xludf.DUMMYFUNCTION("""COMPUTED_VALUE"""),"Arlington Cemetery Flowers by Twin Towers Florist, 1000 Wilson Blvd Ste M735, Arlington VA 22209, (703) 527-2131")</f>
        <v>Arlington Cemetery Flowers by Twin Towers Florist, 1000 Wilson Blvd Ste M735, Arlington VA 22209, (703) 527-2131</v>
      </c>
      <c r="H6" s="30" t="s">
        <v>40</v>
      </c>
      <c r="I6" s="19"/>
      <c r="J6" s="19"/>
      <c r="K6" s="19"/>
      <c r="L6" s="19"/>
      <c r="M6" s="19"/>
      <c r="N6" s="19"/>
      <c r="O6" s="19"/>
      <c r="P6" s="19"/>
      <c r="Q6" s="19"/>
      <c r="R6" s="19"/>
      <c r="S6" s="19"/>
      <c r="T6" s="19"/>
      <c r="U6" s="19"/>
      <c r="V6" s="19"/>
      <c r="W6" s="19"/>
      <c r="X6" s="19"/>
      <c r="Y6" s="19"/>
      <c r="Z6" s="19"/>
    </row>
    <row r="7">
      <c r="A7" s="19" t="str">
        <f>IFERROR(__xludf.DUMMYFUNCTION("""COMPUTED_VALUE"""),"04-05")</f>
        <v>04-05</v>
      </c>
      <c r="B7" s="19" t="str">
        <f>IFERROR(__xludf.DUMMYFUNCTION("""COMPUTED_VALUE"""),"General MacArthur's Memorial &amp; Tomb")</f>
        <v>General MacArthur's Memorial &amp; Tomb</v>
      </c>
      <c r="C7" s="19" t="str">
        <f>IFERROR(__xludf.DUMMYFUNCTION("""COMPUTED_VALUE"""),"Norfolk")</f>
        <v>Norfolk</v>
      </c>
      <c r="D7" s="19" t="str">
        <f>IFERROR(__xludf.DUMMYFUNCTION("""COMPUTED_VALUE"""),"USA")</f>
        <v>USA</v>
      </c>
      <c r="E7" s="19" t="str">
        <f>IFERROR(__xludf.DUMMYFUNCTION("""COMPUTED_VALUE"""),"Mayor Kenny Alexander, City of Norfolk, VA (operates MacArthur Memorial)")</f>
        <v>Mayor Kenny Alexander, City of Norfolk, VA (operates MacArthur Memorial)</v>
      </c>
      <c r="F7" s="19" t="str">
        <f>IFERROR(__xludf.DUMMYFUNCTION("""COMPUTED_VALUE"""),"(757) 664-4679; norfolk.gov/3515 (Email Mayor link)")</f>
        <v>(757) 664-4679; norfolk.gov/3515 (Email Mayor link)</v>
      </c>
      <c r="G7" s="19" t="str">
        <f>IFERROR(__xludf.DUMMYFUNCTION("""COMPUTED_VALUE"""),"Norfolk Wholesale Floral, 601 E Brambleton Ave, Norfolk VA, (757) 625-0901")</f>
        <v>Norfolk Wholesale Floral, 601 E Brambleton Ave, Norfolk VA, (757) 625-0901</v>
      </c>
      <c r="H7" s="30" t="s">
        <v>40</v>
      </c>
      <c r="I7" s="19"/>
      <c r="J7" s="19"/>
      <c r="K7" s="19"/>
      <c r="L7" s="19"/>
      <c r="M7" s="19"/>
      <c r="N7" s="19"/>
      <c r="O7" s="19"/>
      <c r="P7" s="19"/>
      <c r="Q7" s="19"/>
      <c r="R7" s="19"/>
      <c r="S7" s="19"/>
      <c r="T7" s="19"/>
      <c r="U7" s="19"/>
      <c r="V7" s="19"/>
      <c r="W7" s="19"/>
      <c r="X7" s="19"/>
      <c r="Y7" s="19"/>
      <c r="Z7" s="19"/>
    </row>
    <row r="8">
      <c r="A8" s="19" t="str">
        <f>IFERROR(__xludf.DUMMYFUNCTION("""COMPUTED_VALUE"""),"04-29")</f>
        <v>04-29</v>
      </c>
      <c r="B8" s="19" t="str">
        <f>IFERROR(__xludf.DUMMYFUNCTION("""COMPUTED_VALUE"""),"Dachau Memorial Plaque")</f>
        <v>Dachau Memorial Plaque</v>
      </c>
      <c r="C8" s="19" t="str">
        <f>IFERROR(__xludf.DUMMYFUNCTION("""COMPUTED_VALUE"""),"Dachau")</f>
        <v>Dachau</v>
      </c>
      <c r="D8" s="19" t="str">
        <f>IFERROR(__xludf.DUMMYFUNCTION("""COMPUTED_VALUE"""),"Germany")</f>
        <v>Germany</v>
      </c>
      <c r="E8" s="19" t="str">
        <f>IFERROR(__xludf.DUMMYFUNCTION("""COMPUTED_VALUE"""),"OB Florian Hartmann, Stadt Dachau, Bavaria (2026)")</f>
        <v>OB Florian Hartmann, Stadt Dachau, Bavaria (2026)</v>
      </c>
      <c r="F8" s="19" t="str">
        <f>IFERROR(__xludf.DUMMYFUNCTION("""COMPUTED_VALUE"""),"08131 75-0; stadt@dachau.de")</f>
        <v>08131 75-0; stadt@dachau.de</v>
      </c>
      <c r="G8" s="19" t="str">
        <f>IFERROR(__xludf.DUMMYFUNCTION("""COMPUTED_VALUE"""),"Blumenfenster, Münchner Str. 16, 85221 Dachau, +49 8131 736196")</f>
        <v>Blumenfenster, Münchner Str. 16, 85221 Dachau, +49 8131 736196</v>
      </c>
      <c r="H8" s="30" t="s">
        <v>40</v>
      </c>
      <c r="I8" s="19"/>
      <c r="J8" s="19"/>
      <c r="K8" s="19"/>
      <c r="L8" s="19"/>
      <c r="M8" s="19"/>
      <c r="N8" s="19"/>
      <c r="O8" s="19"/>
      <c r="P8" s="19"/>
      <c r="Q8" s="19"/>
      <c r="R8" s="19"/>
      <c r="S8" s="19"/>
      <c r="T8" s="19"/>
      <c r="U8" s="19"/>
      <c r="V8" s="19"/>
      <c r="W8" s="19"/>
      <c r="X8" s="19"/>
      <c r="Y8" s="19"/>
      <c r="Z8" s="19"/>
    </row>
    <row r="9">
      <c r="A9" s="19" t="str">
        <f>IFERROR(__xludf.DUMMYFUNCTION("""COMPUTED_VALUE"""),"05-02")</f>
        <v>05-02</v>
      </c>
      <c r="B9" s="19" t="str">
        <f>IFERROR(__xludf.DUMMYFUNCTION("""COMPUTED_VALUE"""),"Father Duffy's Statue, Duffy Square")</f>
        <v>Father Duffy's Statue, Duffy Square</v>
      </c>
      <c r="C9" s="19" t="str">
        <f>IFERROR(__xludf.DUMMYFUNCTION("""COMPUTED_VALUE"""),"New York City")</f>
        <v>New York City</v>
      </c>
      <c r="D9" s="19" t="str">
        <f>IFERROR(__xludf.DUMMYFUNCTION("""COMPUTED_VALUE"""),"USA")</f>
        <v>USA</v>
      </c>
      <c r="E9" s="19" t="str">
        <f>IFERROR(__xludf.DUMMYFUNCTION("""COMPUTED_VALUE"""),"Mayor Zohran Mamdani, City of New York (2026)")</f>
        <v>Mayor Zohran Mamdani, City of New York (2026)</v>
      </c>
      <c r="F9" s="19" t="str">
        <f>IFERROR(__xludf.DUMMYFUNCTION("""COMPUTED_VALUE"""),"311 / (212) 788-1400; nyc.gov/mayors-office/contact-the-mayor")</f>
        <v>311 / (212) 788-1400; nyc.gov/mayors-office/contact-the-mayor</v>
      </c>
      <c r="G9" s="19" t="str">
        <f>IFERROR(__xludf.DUMMYFUNCTION("""COMPUTED_VALUE"""),"Flowers by Richard NYC, 316 W 53rd St, New York NY 10019 [verify phone]")</f>
        <v>Flowers by Richard NYC, 316 W 53rd St, New York NY 10019 [verify phone]</v>
      </c>
      <c r="H9" s="30" t="s">
        <v>40</v>
      </c>
      <c r="I9" s="19"/>
      <c r="J9" s="19"/>
      <c r="K9" s="19"/>
      <c r="L9" s="19"/>
      <c r="M9" s="19"/>
      <c r="N9" s="19"/>
      <c r="O9" s="19"/>
      <c r="P9" s="19"/>
      <c r="Q9" s="19"/>
      <c r="R9" s="19"/>
      <c r="S9" s="19"/>
      <c r="T9" s="19"/>
      <c r="U9" s="19"/>
      <c r="V9" s="19"/>
      <c r="W9" s="19"/>
      <c r="X9" s="19"/>
      <c r="Y9" s="19"/>
      <c r="Z9" s="19"/>
    </row>
    <row r="10">
      <c r="A10" s="19" t="str">
        <f>IFERROR(__xludf.DUMMYFUNCTION("""COMPUTED_VALUE"""),"05-10")</f>
        <v>05-10</v>
      </c>
      <c r="B10" s="19" t="str">
        <f>IFERROR(__xludf.DUMMYFUNCTION("""COMPUTED_VALUE"""),"Rainbow Viaduct, 167th Infantry")</f>
        <v>Rainbow Viaduct, 167th Infantry</v>
      </c>
      <c r="C10" s="19" t="str">
        <f>IFERROR(__xludf.DUMMYFUNCTION("""COMPUTED_VALUE"""),"Birmingham")</f>
        <v>Birmingham</v>
      </c>
      <c r="D10" s="19" t="str">
        <f>IFERROR(__xludf.DUMMYFUNCTION("""COMPUTED_VALUE"""),"USA")</f>
        <v>USA</v>
      </c>
      <c r="E10" s="19" t="str">
        <f>IFERROR(__xludf.DUMMYFUNCTION("""COMPUTED_VALUE"""),"Mayor Randall Woodfin, City of Birmingham, AL")</f>
        <v>Mayor Randall Woodfin, City of Birmingham, AL</v>
      </c>
      <c r="F10" s="19" t="str">
        <f>IFERROR(__xludf.DUMMYFUNCTION("""COMPUTED_VALUE"""),"(205) 254-2000; opi@birminghamal.gov")</f>
        <v>(205) 254-2000; opi@birminghamal.gov</v>
      </c>
      <c r="G10" s="19" t="str">
        <f>IFERROR(__xludf.DUMMYFUNCTION("""COMPUTED_VALUE"""),"Jean's Florist, Birmingham; 205-640-5451; Emma Nibblett, emmanibblett01@gmail.com")</f>
        <v>Jean's Florist, Birmingham; 205-640-5451; Emma Nibblett, emmanibblett01@gmail.com</v>
      </c>
      <c r="H10" s="30" t="s">
        <v>40</v>
      </c>
      <c r="I10" s="19"/>
      <c r="J10" s="19"/>
      <c r="K10" s="19"/>
      <c r="L10" s="19"/>
      <c r="M10" s="19"/>
      <c r="N10" s="19"/>
      <c r="O10" s="19"/>
      <c r="P10" s="19"/>
      <c r="Q10" s="19"/>
      <c r="R10" s="19"/>
      <c r="S10" s="19"/>
      <c r="T10" s="19"/>
      <c r="U10" s="19"/>
      <c r="V10" s="19"/>
      <c r="W10" s="19"/>
      <c r="X10" s="19"/>
      <c r="Y10" s="19"/>
      <c r="Z10" s="19"/>
    </row>
    <row r="11">
      <c r="A11" s="19" t="str">
        <f>IFERROR(__xludf.DUMMYFUNCTION("""COMPUTED_VALUE"""),"05-30")</f>
        <v>05-30</v>
      </c>
      <c r="B11" s="19" t="str">
        <f>IFERROR(__xludf.DUMMYFUNCTION("""COMPUTED_VALUE"""),"Joyce Kilmer Park and Memorial")</f>
        <v>Joyce Kilmer Park and Memorial</v>
      </c>
      <c r="C11" s="19" t="str">
        <f>IFERROR(__xludf.DUMMYFUNCTION("""COMPUTED_VALUE"""),"Roslindale / Boston")</f>
        <v>Roslindale / Boston</v>
      </c>
      <c r="D11" s="19" t="str">
        <f>IFERROR(__xludf.DUMMYFUNCTION("""COMPUTED_VALUE"""),"USA")</f>
        <v>USA</v>
      </c>
      <c r="E11" s="19" t="str">
        <f>IFERROR(__xludf.DUMMYFUNCTION("""COMPUTED_VALUE"""),"Mayor Michelle Wu, City of Boston")</f>
        <v>Mayor Michelle Wu, City of Boston</v>
      </c>
      <c r="F11" s="19" t="str">
        <f>IFERROR(__xludf.DUMMYFUNCTION("""COMPUTED_VALUE"""),"(617) 635-4500; michelle.wu@boston.gov")</f>
        <v>(617) 635-4500; michelle.wu@boston.gov</v>
      </c>
      <c r="G11" s="19" t="str">
        <f>IFERROR(__xludf.DUMMYFUNCTION("""COMPUTED_VALUE"""),"Walk Hill Florist, 337 Walk Hill St, Roslindale MA 02131, (617) 522-1293")</f>
        <v>Walk Hill Florist, 337 Walk Hill St, Roslindale MA 02131, (617) 522-1293</v>
      </c>
      <c r="H11" s="30" t="s">
        <v>40</v>
      </c>
      <c r="I11" s="19"/>
      <c r="J11" s="19"/>
      <c r="K11" s="19"/>
      <c r="L11" s="19"/>
      <c r="M11" s="19"/>
      <c r="N11" s="19"/>
      <c r="O11" s="19"/>
      <c r="P11" s="19"/>
      <c r="Q11" s="19"/>
      <c r="R11" s="19"/>
      <c r="S11" s="19"/>
      <c r="T11" s="19"/>
      <c r="U11" s="19"/>
      <c r="V11" s="19"/>
      <c r="W11" s="19"/>
      <c r="X11" s="19"/>
      <c r="Y11" s="19"/>
      <c r="Z11" s="19"/>
    </row>
    <row r="12">
      <c r="A12" s="19" t="str">
        <f>IFERROR(__xludf.DUMMYFUNCTION("""COMPUTED_VALUE"""),"05-30")</f>
        <v>05-30</v>
      </c>
      <c r="B12" s="19" t="str">
        <f>IFERROR(__xludf.DUMMYFUNCTION("""COMPUTED_VALUE"""),"Rainbow Memorial Grove")</f>
        <v>Rainbow Memorial Grove</v>
      </c>
      <c r="C12" s="19" t="str">
        <f>IFERROR(__xludf.DUMMYFUNCTION("""COMPUTED_VALUE"""),"Los Angeles")</f>
        <v>Los Angeles</v>
      </c>
      <c r="D12" s="19" t="str">
        <f>IFERROR(__xludf.DUMMYFUNCTION("""COMPUTED_VALUE"""),"USA")</f>
        <v>USA</v>
      </c>
      <c r="E12" s="19" t="str">
        <f>IFERROR(__xludf.DUMMYFUNCTION("""COMPUTED_VALUE"""),"Mayor Karen Bass, City of Los Angeles [verify after Nov 2026 election]")</f>
        <v>Mayor Karen Bass, City of Los Angeles [verify after Nov 2026 election]</v>
      </c>
      <c r="F12" s="19" t="str">
        <f>IFERROR(__xludf.DUMMYFUNCTION("""COMPUTED_VALUE"""),"(213) 978-0600; mayor.helpdesk@lacity.org")</f>
        <v>(213) 978-0600; mayor.helpdesk@lacity.org</v>
      </c>
      <c r="G12" s="19" t="str">
        <f>IFERROR(__xludf.DUMMYFUNCTION("""COMPUTED_VALUE"""),"CJ Matsumoto &amp; Sons, 1865 W Cordova St, Los Angeles CA 90007, (323) 733-6046")</f>
        <v>CJ Matsumoto &amp; Sons, 1865 W Cordova St, Los Angeles CA 90007, (323) 733-6046</v>
      </c>
      <c r="H12" s="30" t="s">
        <v>40</v>
      </c>
      <c r="I12" s="19"/>
      <c r="J12" s="19"/>
      <c r="K12" s="19"/>
      <c r="L12" s="19"/>
      <c r="M12" s="19"/>
      <c r="N12" s="19"/>
      <c r="O12" s="19"/>
      <c r="P12" s="19"/>
      <c r="Q12" s="19"/>
      <c r="R12" s="19"/>
      <c r="S12" s="19"/>
      <c r="T12" s="19"/>
      <c r="U12" s="19"/>
      <c r="V12" s="19"/>
      <c r="W12" s="19"/>
      <c r="X12" s="19"/>
      <c r="Y12" s="19"/>
      <c r="Z12" s="19"/>
    </row>
    <row r="13">
      <c r="A13" s="19" t="str">
        <f>IFERROR(__xludf.DUMMYFUNCTION("""COMPUTED_VALUE"""),"06-18")</f>
        <v>06-18</v>
      </c>
      <c r="B13" s="19" t="str">
        <f>IFERROR(__xludf.DUMMYFUNCTION("""COMPUTED_VALUE"""),"Illinois Rainbow Division Monument")</f>
        <v>Illinois Rainbow Division Monument</v>
      </c>
      <c r="C13" s="19" t="str">
        <f>IFERROR(__xludf.DUMMYFUNCTION("""COMPUTED_VALUE"""),"Chicago")</f>
        <v>Chicago</v>
      </c>
      <c r="D13" s="19" t="str">
        <f>IFERROR(__xludf.DUMMYFUNCTION("""COMPUTED_VALUE"""),"USA")</f>
        <v>USA</v>
      </c>
      <c r="E13" s="19" t="str">
        <f>IFERROR(__xludf.DUMMYFUNCTION("""COMPUTED_VALUE"""),"Mayor Brandon Johnson, City of Chicago")</f>
        <v>Mayor Brandon Johnson, City of Chicago</v>
      </c>
      <c r="F13" s="19" t="str">
        <f>IFERROR(__xludf.DUMMYFUNCTION("""COMPUTED_VALUE"""),"311; chicago.gov/city/en/depts/mayor (contact form)")</f>
        <v>311; chicago.gov/city/en/depts/mayor (contact form)</v>
      </c>
      <c r="G13" s="19" t="str">
        <f>IFERROR(__xludf.DUMMYFUNCTION("""COMPUTED_VALUE"""),"Sandelas Flower Shop, South Side Chicago, (773) 721-7672 [verify address]")</f>
        <v>Sandelas Flower Shop, South Side Chicago, (773) 721-7672 [verify address]</v>
      </c>
      <c r="H13" s="30" t="s">
        <v>40</v>
      </c>
      <c r="I13" s="19"/>
      <c r="J13" s="19"/>
      <c r="K13" s="19"/>
      <c r="L13" s="19"/>
      <c r="M13" s="19"/>
      <c r="N13" s="19"/>
      <c r="O13" s="19"/>
      <c r="P13" s="19"/>
      <c r="Q13" s="19"/>
      <c r="R13" s="19"/>
      <c r="S13" s="19"/>
      <c r="T13" s="19"/>
      <c r="U13" s="19"/>
      <c r="V13" s="19"/>
      <c r="W13" s="19"/>
      <c r="X13" s="19"/>
      <c r="Y13" s="19"/>
      <c r="Z13" s="19"/>
    </row>
    <row r="14">
      <c r="A14" s="19" t="str">
        <f>IFERROR(__xludf.DUMMYFUNCTION("""COMPUTED_VALUE"""),"07-13")</f>
        <v>07-13</v>
      </c>
      <c r="B14" s="19" t="str">
        <f>IFERROR(__xludf.DUMMYFUNCTION("""COMPUTED_VALUE"""),"Rainbow Memorial Amphitheater")</f>
        <v>Rainbow Memorial Amphitheater</v>
      </c>
      <c r="C14" s="19" t="str">
        <f>IFERROR(__xludf.DUMMYFUNCTION("""COMPUTED_VALUE"""),"Muskogee")</f>
        <v>Muskogee</v>
      </c>
      <c r="D14" s="19" t="str">
        <f>IFERROR(__xludf.DUMMYFUNCTION("""COMPUTED_VALUE"""),"USA")</f>
        <v>USA</v>
      </c>
      <c r="E14" s="19" t="str">
        <f>IFERROR(__xludf.DUMMYFUNCTION("""COMPUTED_VALUE"""),"Mayor Ryan Lowe, City of Muskogee, OK (Feb 2026)")</f>
        <v>Mayor Ryan Lowe, City of Muskogee, OK (Feb 2026)</v>
      </c>
      <c r="F14" s="19" t="str">
        <f>IFERROR(__xludf.DUMMYFUNCTION("""COMPUTED_VALUE"""),"(918) 682-6602; mayor@muskogeeonline.org")</f>
        <v>(918) 682-6602; mayor@muskogeeonline.org</v>
      </c>
      <c r="G14" s="19" t="str">
        <f>IFERROR(__xludf.DUMMYFUNCTION("""COMPUTED_VALUE"""),"Lakeland Florist, 821 Callahan St, Muskogee OK 74403, (918) 687-7574")</f>
        <v>Lakeland Florist, 821 Callahan St, Muskogee OK 74403, (918) 687-7574</v>
      </c>
      <c r="H14" s="30" t="s">
        <v>40</v>
      </c>
      <c r="I14" s="19"/>
      <c r="J14" s="19"/>
      <c r="K14" s="19"/>
      <c r="L14" s="19"/>
      <c r="M14" s="19"/>
      <c r="N14" s="19"/>
      <c r="O14" s="19"/>
      <c r="P14" s="19"/>
      <c r="Q14" s="19"/>
      <c r="R14" s="19"/>
      <c r="S14" s="19"/>
      <c r="T14" s="19"/>
      <c r="U14" s="19"/>
      <c r="V14" s="19"/>
      <c r="W14" s="19"/>
      <c r="X14" s="19"/>
      <c r="Y14" s="19"/>
      <c r="Z14" s="19"/>
    </row>
    <row r="15">
      <c r="A15" s="19" t="str">
        <f>IFERROR(__xludf.DUMMYFUNCTION("""COMPUTED_VALUE"""),"07-14")</f>
        <v>07-14</v>
      </c>
      <c r="B15" s="19" t="str">
        <f>IFERROR(__xludf.DUMMYFUNCTION("""COMPUTED_VALUE"""),"Mortimer H. Jordan Monument")</f>
        <v>Mortimer H. Jordan Monument</v>
      </c>
      <c r="C15" s="19" t="str">
        <f>IFERROR(__xludf.DUMMYFUNCTION("""COMPUTED_VALUE"""),"Birmingham")</f>
        <v>Birmingham</v>
      </c>
      <c r="D15" s="19" t="str">
        <f>IFERROR(__xludf.DUMMYFUNCTION("""COMPUTED_VALUE"""),"USA")</f>
        <v>USA</v>
      </c>
      <c r="E15" s="19" t="str">
        <f>IFERROR(__xludf.DUMMYFUNCTION("""COMPUTED_VALUE"""),"Birmingham VA Health Care System (U.S. Dept. of Veterans Affairs) [dir. verify]")</f>
        <v>Birmingham VA Health Care System (U.S. Dept. of Veterans Affairs) [dir. verify]</v>
      </c>
      <c r="F15" s="19" t="str">
        <f>IFERROR(__xludf.DUMMYFUNCTION("""COMPUTED_VALUE"""),"205-933-8101; va.gov/birmingham-health-care/contact-us")</f>
        <v>205-933-8101; va.gov/birmingham-health-care/contact-us</v>
      </c>
      <c r="G15" s="19" t="str">
        <f>IFERROR(__xludf.DUMMYFUNCTION("""COMPUTED_VALUE"""),"E &amp; E House of Flowers and Boutique, Birmingham; 334-356-7999; floralboutique@gmail.com")</f>
        <v>E &amp; E House of Flowers and Boutique, Birmingham; 334-356-7999; floralboutique@gmail.com</v>
      </c>
      <c r="H15" s="30" t="s">
        <v>40</v>
      </c>
      <c r="I15" s="19"/>
      <c r="J15" s="19"/>
      <c r="K15" s="19"/>
      <c r="L15" s="19"/>
      <c r="M15" s="19"/>
      <c r="N15" s="19"/>
      <c r="O15" s="19"/>
      <c r="P15" s="19"/>
      <c r="Q15" s="19"/>
      <c r="R15" s="19"/>
      <c r="S15" s="19"/>
      <c r="T15" s="19"/>
      <c r="U15" s="19"/>
      <c r="V15" s="19"/>
      <c r="W15" s="19"/>
      <c r="X15" s="19"/>
      <c r="Y15" s="19"/>
      <c r="Z15" s="19"/>
    </row>
    <row r="16">
      <c r="A16" s="19" t="str">
        <f>IFERROR(__xludf.DUMMYFUNCTION("""COMPUTED_VALUE"""),"07-15")</f>
        <v>07-15</v>
      </c>
      <c r="B16" s="19" t="str">
        <f>IFERROR(__xludf.DUMMYFUNCTION("""COMPUTED_VALUE"""),"Navarin Farm Monument (Ossuary)")</f>
        <v>Navarin Farm Monument (Ossuary)</v>
      </c>
      <c r="C16" s="19" t="str">
        <f>IFERROR(__xludf.DUMMYFUNCTION("""COMPUTED_VALUE"""),"Souain / Perthes-les-Hurlus")</f>
        <v>Souain / Perthes-les-Hurlus</v>
      </c>
      <c r="D16" s="19" t="str">
        <f>IFERROR(__xludf.DUMMYFUNCTION("""COMPUTED_VALUE"""),"France")</f>
        <v>France</v>
      </c>
      <c r="E16" s="19" t="str">
        <f>IFERROR(__xludf.DUMMYFUNCTION("""COMPUTED_VALUE"""),"Maire de Souain-Perthes-lès-Hurlus, Marne, France [verify current - De Grammont/Leclère; partial election noted]")</f>
        <v>Maire de Souain-Perthes-lès-Hurlus, Marne, France [verify current - De Grammont/Leclère; partial election noted]</v>
      </c>
      <c r="F16" s="19" t="str">
        <f>IFERROR(__xludf.DUMMYFUNCTION("""COMPUTED_VALUE"""),"03 26 70 11 98; communesouain@wanadoo.fr")</f>
        <v>03 26 70 11 98; communesouain@wanadoo.fr</v>
      </c>
      <c r="G16" s="19" t="str">
        <f>IFERROR(__xludf.DUMMYFUNCTION("""COMPUTED_VALUE"""),"Joliment Dit (Interflora), 5 Route de Châlons, 51600 Suippes, +33 3 26 67 53 41")</f>
        <v>Joliment Dit (Interflora), 5 Route de Châlons, 51600 Suippes, +33 3 26 67 53 41</v>
      </c>
      <c r="H16" s="30" t="s">
        <v>40</v>
      </c>
      <c r="I16" s="19"/>
      <c r="J16" s="19"/>
      <c r="K16" s="19"/>
      <c r="L16" s="19"/>
      <c r="M16" s="19"/>
      <c r="N16" s="19"/>
      <c r="O16" s="19"/>
      <c r="P16" s="19"/>
      <c r="Q16" s="19"/>
      <c r="R16" s="19"/>
      <c r="S16" s="19"/>
      <c r="T16" s="19"/>
      <c r="U16" s="19"/>
      <c r="V16" s="19"/>
      <c r="W16" s="19"/>
      <c r="X16" s="19"/>
      <c r="Y16" s="19"/>
      <c r="Z16" s="19"/>
    </row>
    <row r="17">
      <c r="A17" s="19" t="str">
        <f>IFERROR(__xludf.DUMMYFUNCTION("""COMPUTED_VALUE"""),"09-07")</f>
        <v>09-07</v>
      </c>
      <c r="B17" s="19" t="str">
        <f>IFERROR(__xludf.DUMMYFUNCTION("""COMPUTED_VALUE"""),"Rosedale Memorial Arch, 117th Ammunition Train")</f>
        <v>Rosedale Memorial Arch, 117th Ammunition Train</v>
      </c>
      <c r="C17" s="19" t="str">
        <f>IFERROR(__xludf.DUMMYFUNCTION("""COMPUTED_VALUE"""),"Kansas City")</f>
        <v>Kansas City</v>
      </c>
      <c r="D17" s="19" t="str">
        <f>IFERROR(__xludf.DUMMYFUNCTION("""COMPUTED_VALUE"""),"USA")</f>
        <v>USA</v>
      </c>
      <c r="E17" s="19" t="str">
        <f>IFERROR(__xludf.DUMMYFUNCTION("""COMPUTED_VALUE"""),"Mayor/CEO Christal Watson, Unified Gov. of Wyandotte County/Kansas City, KS (Dec 2025)")</f>
        <v>Mayor/CEO Christal Watson, Unified Gov. of Wyandotte County/Kansas City, KS (Dec 2025)</v>
      </c>
      <c r="F17" s="19" t="str">
        <f>IFERROR(__xludf.DUMMYFUNCTION("""COMPUTED_VALUE"""),"(913) 573-5000; wycokck.org [email not verified]")</f>
        <v>(913) 573-5000; wycokck.org [email not verified]</v>
      </c>
      <c r="G17" s="19" t="str">
        <f>IFERROR(__xludf.DUMMYFUNCTION("""COMPUTED_VALUE"""),"Don Evans Florist &amp; Zucy's Flower Boutique, 1015 N 29th St, Kansas City KS 66102, (913) 321-9800")</f>
        <v>Don Evans Florist &amp; Zucy's Flower Boutique, 1015 N 29th St, Kansas City KS 66102, (913) 321-9800</v>
      </c>
      <c r="H17" s="30" t="s">
        <v>40</v>
      </c>
      <c r="I17" s="19"/>
      <c r="J17" s="19"/>
      <c r="K17" s="19"/>
      <c r="L17" s="19"/>
      <c r="M17" s="19"/>
      <c r="N17" s="19"/>
      <c r="O17" s="19"/>
      <c r="P17" s="19"/>
      <c r="Q17" s="19"/>
      <c r="R17" s="19"/>
      <c r="S17" s="19"/>
      <c r="T17" s="19"/>
      <c r="U17" s="19"/>
      <c r="V17" s="19"/>
      <c r="W17" s="19"/>
      <c r="X17" s="19"/>
      <c r="Y17" s="19"/>
      <c r="Z17" s="19"/>
    </row>
    <row r="18">
      <c r="A18" s="19" t="str">
        <f>IFERROR(__xludf.DUMMYFUNCTION("""COMPUTED_VALUE"""),"09-11")</f>
        <v>09-11</v>
      </c>
      <c r="B18" s="19" t="str">
        <f>IFERROR(__xludf.DUMMYFUNCTION("""COMPUTED_VALUE"""),"General MacArthur's Statue")</f>
        <v>General MacArthur's Statue</v>
      </c>
      <c r="C18" s="19" t="str">
        <f>IFERROR(__xludf.DUMMYFUNCTION("""COMPUTED_VALUE"""),"West Point")</f>
        <v>West Point</v>
      </c>
      <c r="D18" s="19" t="str">
        <f>IFERROR(__xludf.DUMMYFUNCTION("""COMPUTED_VALUE"""),"USA")</f>
        <v>USA</v>
      </c>
      <c r="E18" s="19" t="str">
        <f>IFERROR(__xludf.DUMMYFUNCTION("""COMPUTED_VALUE"""),"Superintendent, USMA West Point (U.S. Army) [verify - LTG Gilland retired ~6/2026]")</f>
        <v>Superintendent, USMA West Point (U.S. Army) [verify - LTG Gilland retired ~6/2026]</v>
      </c>
      <c r="F18" s="19" t="str">
        <f>IFERROR(__xludf.DUMMYFUNCTION("""COMPUTED_VALUE"""),"MediaRelations@westpoint.edu; (845) 938-4041")</f>
        <v>MediaRelations@westpoint.edu; (845) 938-4041</v>
      </c>
      <c r="G18" s="19" t="str">
        <f>IFERROR(__xludf.DUMMYFUNCTION("""COMPUTED_VALUE"""),"Lily's of the Valley, 285 Main St, Highland Falls NY 10928, (845) 446-4446")</f>
        <v>Lily's of the Valley, 285 Main St, Highland Falls NY 10928, (845) 446-4446</v>
      </c>
      <c r="H18" s="30" t="s">
        <v>40</v>
      </c>
      <c r="I18" s="19"/>
      <c r="J18" s="19"/>
      <c r="K18" s="19"/>
      <c r="L18" s="19"/>
      <c r="M18" s="19"/>
      <c r="N18" s="19"/>
      <c r="O18" s="19"/>
      <c r="P18" s="19"/>
      <c r="Q18" s="19"/>
      <c r="R18" s="19"/>
      <c r="S18" s="19"/>
      <c r="T18" s="19"/>
      <c r="U18" s="19"/>
      <c r="V18" s="19"/>
      <c r="W18" s="19"/>
      <c r="X18" s="19"/>
      <c r="Y18" s="19"/>
      <c r="Z18" s="19"/>
    </row>
    <row r="19">
      <c r="A19" s="19" t="str">
        <f>IFERROR(__xludf.DUMMYFUNCTION("""COMPUTED_VALUE"""),"10-10")</f>
        <v>10-10</v>
      </c>
      <c r="B19" s="19" t="str">
        <f>IFERROR(__xludf.DUMMYFUNCTION("""COMPUTED_VALUE"""),"Medal of Honor Grove &amp; 42nd Auxiliary Monument / MOH Plaque")</f>
        <v>Medal of Honor Grove &amp; 42nd Auxiliary Monument / MOH Plaque</v>
      </c>
      <c r="C19" s="19" t="str">
        <f>IFERROR(__xludf.DUMMYFUNCTION("""COMPUTED_VALUE"""),"Valley Forge")</f>
        <v>Valley Forge</v>
      </c>
      <c r="D19" s="19" t="str">
        <f>IFERROR(__xludf.DUMMYFUNCTION("""COMPUTED_VALUE"""),"USA")</f>
        <v>USA</v>
      </c>
      <c r="E19" s="19" t="str">
        <f>IFERROR(__xludf.DUMMYFUNCTION("""COMPUTED_VALUE"""),"Freedoms Foundation at Valley Forge / Founding Forward (Schuylkill Twp, Chester Co PA) [CEO verify]")</f>
        <v>Freedoms Foundation at Valley Forge / Founding Forward (Schuylkill Twp, Chester Co PA) [CEO verify]</v>
      </c>
      <c r="F19" s="19" t="str">
        <f>IFERROR(__xludf.DUMMYFUNCTION("""COMPUTED_VALUE"""),"(610) 933-8825; info@foundingforward.org")</f>
        <v>(610) 933-8825; info@foundingforward.org</v>
      </c>
      <c r="G19" s="19" t="str">
        <f>IFERROR(__xludf.DUMMYFUNCTION("""COMPUTED_VALUE"""),"Leary's Flowers, 407 Gay St, Phoenixville PA 19460, (610) 935-1573")</f>
        <v>Leary's Flowers, 407 Gay St, Phoenixville PA 19460, (610) 935-1573</v>
      </c>
      <c r="H19" s="30" t="s">
        <v>40</v>
      </c>
      <c r="I19" s="19"/>
      <c r="J19" s="19"/>
      <c r="K19" s="19"/>
      <c r="L19" s="19"/>
      <c r="M19" s="19"/>
      <c r="N19" s="19"/>
      <c r="O19" s="19"/>
      <c r="P19" s="19"/>
      <c r="Q19" s="19"/>
      <c r="R19" s="19"/>
      <c r="S19" s="19"/>
      <c r="T19" s="19"/>
      <c r="U19" s="19"/>
      <c r="V19" s="19"/>
      <c r="W19" s="19"/>
      <c r="X19" s="19"/>
      <c r="Y19" s="19"/>
      <c r="Z19" s="19"/>
    </row>
    <row r="20">
      <c r="A20" s="19" t="str">
        <f>IFERROR(__xludf.DUMMYFUNCTION("""COMPUTED_VALUE"""),"10-12")</f>
        <v>10-12</v>
      </c>
      <c r="B20" s="19" t="str">
        <f>IFERROR(__xludf.DUMMYFUNCTION("""COMPUTED_VALUE"""),"Rainbow National Monument (Rainbow Division Monument), Rainbow Park")</f>
        <v>Rainbow National Monument (Rainbow Division Monument), Rainbow Park</v>
      </c>
      <c r="C20" s="19" t="str">
        <f>IFERROR(__xludf.DUMMYFUNCTION("""COMPUTED_VALUE"""),"Garden City (Long Island)")</f>
        <v>Garden City (Long Island)</v>
      </c>
      <c r="D20" s="19" t="str">
        <f>IFERROR(__xludf.DUMMYFUNCTION("""COMPUTED_VALUE"""),"USA")</f>
        <v>USA</v>
      </c>
      <c r="E20" s="19" t="str">
        <f>IFERROR(__xludf.DUMMYFUNCTION("""COMPUTED_VALUE"""),"Mayor, Village of Garden City, NY [verify current - Edward T. Finneran per 5/2026]")</f>
        <v>Mayor, Village of Garden City, NY [verify current - Edward T. Finneran per 5/2026]</v>
      </c>
      <c r="F20" s="19" t="str">
        <f>IFERROR(__xludf.DUMMYFUNCTION("""COMPUTED_VALUE"""),"(516) 465-4000; gardencityny.net/142/Contact")</f>
        <v>(516) 465-4000; gardencityny.net/142/Contact</v>
      </c>
      <c r="G20" s="19" t="str">
        <f>IFERROR(__xludf.DUMMYFUNCTION("""COMPUTED_VALUE"""),"The Garden City Florist, 138 Seventh St, Garden City NY 11530, (516) 741-5500")</f>
        <v>The Garden City Florist, 138 Seventh St, Garden City NY 11530, (516) 741-5500</v>
      </c>
      <c r="H20" s="30" t="s">
        <v>40</v>
      </c>
      <c r="I20" s="19"/>
      <c r="J20" s="19"/>
      <c r="K20" s="19"/>
      <c r="L20" s="19"/>
      <c r="M20" s="19"/>
      <c r="N20" s="19"/>
      <c r="O20" s="19"/>
      <c r="P20" s="19"/>
      <c r="Q20" s="19"/>
      <c r="R20" s="19"/>
      <c r="S20" s="19"/>
      <c r="T20" s="19"/>
      <c r="U20" s="19"/>
      <c r="V20" s="19"/>
      <c r="W20" s="19"/>
      <c r="X20" s="19"/>
      <c r="Y20" s="19"/>
      <c r="Z20" s="19"/>
    </row>
    <row r="21">
      <c r="A21" s="19" t="str">
        <f>IFERROR(__xludf.DUMMYFUNCTION("""COMPUTED_VALUE"""),"10-14")</f>
        <v>10-14</v>
      </c>
      <c r="B21" s="19" t="str">
        <f>IFERROR(__xludf.DUMMYFUNCTION("""COMPUTED_VALUE"""),"Grave of William J. 'Wild Bill' Donovan (MOH)")</f>
        <v>Grave of William J. 'Wild Bill' Donovan (MOH)</v>
      </c>
      <c r="C21" s="19" t="str">
        <f>IFERROR(__xludf.DUMMYFUNCTION("""COMPUTED_VALUE"""),"Arlington")</f>
        <v>Arlington</v>
      </c>
      <c r="D21" s="19" t="str">
        <f>IFERROR(__xludf.DUMMYFUNCTION("""COMPUTED_VALUE"""),"USA")</f>
        <v>USA</v>
      </c>
      <c r="E21" s="19" t="str">
        <f>IFERROR(__xludf.DUMMYFUNCTION("""COMPUTED_VALUE"""),"Arlington National Cemetery, U.S. Army (Supt. C.R. Alexander Jr. [verify]); fresh flowers allowed on graves")</f>
        <v>Arlington National Cemetery, U.S. Army (Supt. C.R. Alexander Jr. [verify]); fresh flowers allowed on graves</v>
      </c>
      <c r="F21" s="19" t="str">
        <f>IFERROR(__xludf.DUMMYFUNCTION("""COMPUTED_VALUE"""),"1-877-907-8585; arlingtoncemetery.mil/contact")</f>
        <v>1-877-907-8585; arlingtoncemetery.mil/contact</v>
      </c>
      <c r="G21" s="19" t="str">
        <f>IFERROR(__xludf.DUMMYFUNCTION("""COMPUTED_VALUE"""),"Arlington Cemetery Flowers by Twin Towers Florist, 1000 Wilson Blvd Ste M735, Arlington VA 22209, (703) 527-2131 (delivers into ANC)")</f>
        <v>Arlington Cemetery Flowers by Twin Towers Florist, 1000 Wilson Blvd Ste M735, Arlington VA 22209, (703) 527-2131 (delivers into ANC)</v>
      </c>
      <c r="H21" s="30" t="s">
        <v>40</v>
      </c>
      <c r="I21" s="19"/>
      <c r="J21" s="19"/>
      <c r="K21" s="19"/>
      <c r="L21" s="19"/>
      <c r="M21" s="19"/>
      <c r="N21" s="19"/>
      <c r="O21" s="19"/>
      <c r="P21" s="19"/>
      <c r="Q21" s="19"/>
      <c r="R21" s="19"/>
      <c r="S21" s="19"/>
      <c r="T21" s="19"/>
      <c r="U21" s="19"/>
      <c r="V21" s="19"/>
      <c r="W21" s="19"/>
      <c r="X21" s="19"/>
      <c r="Y21" s="19"/>
      <c r="Z21" s="19"/>
    </row>
    <row r="22">
      <c r="A22" s="19" t="str">
        <f>IFERROR(__xludf.DUMMYFUNCTION("""COMPUTED_VALUE"""),"10-18")</f>
        <v>10-18</v>
      </c>
      <c r="B22" s="19" t="str">
        <f>IFERROR(__xludf.DUMMYFUNCTION("""COMPUTED_VALUE"""),"MacArthur Statue 'The Student', Academy of Freedom")</f>
        <v>MacArthur Statue 'The Student', Academy of Freedom</v>
      </c>
      <c r="C22" s="19" t="str">
        <f>IFERROR(__xludf.DUMMYFUNCTION("""COMPUTED_VALUE"""),"Brownwood")</f>
        <v>Brownwood</v>
      </c>
      <c r="D22" s="19" t="str">
        <f>IFERROR(__xludf.DUMMYFUNCTION("""COMPUTED_VALUE"""),"USA")</f>
        <v>USA</v>
      </c>
      <c r="E22" s="19" t="str">
        <f>IFERROR(__xludf.DUMMYFUNCTION("""COMPUTED_VALUE"""),"Mayor Stephen Haynes, City of Brownwood, TX")</f>
        <v>Mayor Stephen Haynes, City of Brownwood, TX</v>
      </c>
      <c r="F22" s="19" t="str">
        <f>IFERROR(__xludf.DUMMYFUNCTION("""COMPUTED_VALUE"""),"(325) 646-5775; brownwoodtexas.gov (contact form)")</f>
        <v>(325) 646-5775; brownwoodtexas.gov (contact form)</v>
      </c>
      <c r="G22" s="19" t="str">
        <f>IFERROR(__xludf.DUMMYFUNCTION("""COMPUTED_VALUE"""),"Davis Floral Company, 505 Fisk Ave, Brownwood TX 76801, (325) 646-9595")</f>
        <v>Davis Floral Company, 505 Fisk Ave, Brownwood TX 76801, (325) 646-9595</v>
      </c>
      <c r="H22" s="30" t="s">
        <v>40</v>
      </c>
      <c r="I22" s="19"/>
      <c r="J22" s="19"/>
      <c r="K22" s="19"/>
      <c r="L22" s="19"/>
      <c r="M22" s="19"/>
      <c r="N22" s="19"/>
      <c r="O22" s="19"/>
      <c r="P22" s="19"/>
      <c r="Q22" s="19"/>
      <c r="R22" s="19"/>
      <c r="S22" s="19"/>
      <c r="T22" s="19"/>
      <c r="U22" s="19"/>
      <c r="V22" s="19"/>
      <c r="W22" s="19"/>
      <c r="X22" s="19"/>
      <c r="Y22" s="19"/>
      <c r="Z22" s="19"/>
    </row>
    <row r="23">
      <c r="A23" s="19" t="str">
        <f>IFERROR(__xludf.DUMMYFUNCTION("""COMPUTED_VALUE"""),"Veterans Day or Memorial Day")</f>
        <v>Veterans Day or Memorial Day</v>
      </c>
      <c r="B23" s="19" t="str">
        <f>IFERROR(__xludf.DUMMYFUNCTION("""COMPUTED_VALUE"""),"Brookwood American Cemetery")</f>
        <v>Brookwood American Cemetery</v>
      </c>
      <c r="C23" s="19" t="str">
        <f>IFERROR(__xludf.DUMMYFUNCTION("""COMPUTED_VALUE"""),"Brookwood")</f>
        <v>Brookwood</v>
      </c>
      <c r="D23" s="19" t="str">
        <f>IFERROR(__xludf.DUMMYFUNCTION("""COMPUTED_VALUE"""),"England")</f>
        <v>England</v>
      </c>
      <c r="E23" s="19" t="str">
        <f>IFERROR(__xludf.DUMMYFUNCTION("""COMPUTED_VALUE"""),"ABMC - Brookwood American Cemetery, Brookwood Surrey GU24 0JB, England")</f>
        <v>ABMC - Brookwood American Cemetery, Brookwood Surrey GU24 0JB, England</v>
      </c>
      <c r="F23" s="19" t="str">
        <f>IFERROR(__xludf.DUMMYFUNCTION("""COMPUTED_VALUE"""),"+44 1483 473237; brookwood@abmc.gov")</f>
        <v>+44 1483 473237; brookwood@abmc.gov</v>
      </c>
      <c r="G23" s="19" t="str">
        <f>IFERROR(__xludf.DUMMYFUNCTION("""COMPUTED_VALUE"""),"ABMC: order via international florist (Interflora/FTD) to cemetery w/ Plot/Row/Grave; staff place &amp; photo. Brookwood GU24 0JB")</f>
        <v>ABMC: order via international florist (Interflora/FTD) to cemetery w/ Plot/Row/Grave; staff place &amp; photo. Brookwood GU24 0JB</v>
      </c>
      <c r="H23" s="30" t="s">
        <v>40</v>
      </c>
      <c r="I23" s="19"/>
      <c r="J23" s="19"/>
      <c r="K23" s="19"/>
      <c r="L23" s="19"/>
      <c r="M23" s="19"/>
      <c r="N23" s="19"/>
      <c r="O23" s="19"/>
      <c r="P23" s="19"/>
      <c r="Q23" s="19"/>
      <c r="R23" s="19"/>
      <c r="S23" s="19"/>
      <c r="T23" s="19"/>
      <c r="U23" s="19"/>
      <c r="V23" s="19"/>
      <c r="W23" s="19"/>
      <c r="X23" s="19"/>
      <c r="Y23" s="19"/>
      <c r="Z23" s="19"/>
    </row>
    <row r="24">
      <c r="A24" s="19" t="str">
        <f>IFERROR(__xludf.DUMMYFUNCTION("""COMPUTED_VALUE"""),"Veterans Day or Memorial Day")</f>
        <v>Veterans Day or Memorial Day</v>
      </c>
      <c r="B24" s="19" t="str">
        <f>IFERROR(__xludf.DUMMYFUNCTION("""COMPUTED_VALUE"""),"Aisne-Marne American Cemetery")</f>
        <v>Aisne-Marne American Cemetery</v>
      </c>
      <c r="C24" s="19" t="str">
        <f>IFERROR(__xludf.DUMMYFUNCTION("""COMPUTED_VALUE"""),"Chateau-Thierry (Belleau)")</f>
        <v>Chateau-Thierry (Belleau)</v>
      </c>
      <c r="D24" s="19" t="str">
        <f>IFERROR(__xludf.DUMMYFUNCTION("""COMPUTED_VALUE"""),"France")</f>
        <v>France</v>
      </c>
      <c r="E24" s="19" t="str">
        <f>IFERROR(__xludf.DUMMYFUNCTION("""COMPUTED_VALUE"""),"ABMC - Aisne-Marne American Cemetery, Belleau, France")</f>
        <v>ABMC - Aisne-Marne American Cemetery, Belleau, France</v>
      </c>
      <c r="F24" s="19" t="str">
        <f>IFERROR(__xludf.DUMMYFUNCTION("""COMPUTED_VALUE"""),"+33 3 23 70 70 90; aisne-marne@abmc.gov")</f>
        <v>+33 3 23 70 70 90; aisne-marne@abmc.gov</v>
      </c>
      <c r="G24" s="19" t="str">
        <f>IFERROR(__xludf.DUMMYFUNCTION("""COMPUTED_VALUE"""),"ABMC: order via florist to cemetery w/ Plot/Row/Grave; staff place &amp; photo. Florist: Abutilon Bis, Château-Thierry, +33 3 23 83 00 91")</f>
        <v>ABMC: order via florist to cemetery w/ Plot/Row/Grave; staff place &amp; photo. Florist: Abutilon Bis, Château-Thierry, +33 3 23 83 00 91</v>
      </c>
      <c r="H24" s="30" t="s">
        <v>40</v>
      </c>
      <c r="I24" s="19"/>
      <c r="J24" s="19"/>
      <c r="K24" s="19"/>
      <c r="L24" s="19"/>
      <c r="M24" s="19"/>
      <c r="N24" s="19"/>
      <c r="O24" s="19"/>
      <c r="P24" s="19"/>
      <c r="Q24" s="19"/>
      <c r="R24" s="19"/>
      <c r="S24" s="19"/>
      <c r="T24" s="19"/>
      <c r="U24" s="19"/>
      <c r="V24" s="19"/>
      <c r="W24" s="19"/>
      <c r="X24" s="19"/>
      <c r="Y24" s="19"/>
      <c r="Z24" s="19"/>
    </row>
    <row r="25">
      <c r="A25" s="19" t="str">
        <f>IFERROR(__xludf.DUMMYFUNCTION("""COMPUTED_VALUE"""),"Veterans Day or Memorial Day")</f>
        <v>Veterans Day or Memorial Day</v>
      </c>
      <c r="B25" s="19" t="str">
        <f>IFERROR(__xludf.DUMMYFUNCTION("""COMPUTED_VALUE"""),"Meuse-Argonne American Cemetery")</f>
        <v>Meuse-Argonne American Cemetery</v>
      </c>
      <c r="C25" s="19" t="str">
        <f>IFERROR(__xludf.DUMMYFUNCTION("""COMPUTED_VALUE"""),"Romagne-sous-Montfaucon")</f>
        <v>Romagne-sous-Montfaucon</v>
      </c>
      <c r="D25" s="19" t="str">
        <f>IFERROR(__xludf.DUMMYFUNCTION("""COMPUTED_VALUE"""),"France")</f>
        <v>France</v>
      </c>
      <c r="E25" s="19" t="str">
        <f>IFERROR(__xludf.DUMMYFUNCTION("""COMPUTED_VALUE"""),"ABMC - Meuse-Argonne American Cemetery, Romagne-sous-Montfaucon, France")</f>
        <v>ABMC - Meuse-Argonne American Cemetery, Romagne-sous-Montfaucon, France</v>
      </c>
      <c r="F25" s="19" t="str">
        <f>IFERROR(__xludf.DUMMYFUNCTION("""COMPUTED_VALUE"""),"+33 3 29 85 14 18; meuse-argonne@abmc.gov")</f>
        <v>+33 3 29 85 14 18; meuse-argonne@abmc.gov</v>
      </c>
      <c r="G25" s="19" t="str">
        <f>IFERROR(__xludf.DUMMYFUNCTION("""COMPUTED_VALUE"""),"ABMC: order via florist to cemetery w/ Plot/Row/Grave; staff place &amp; photo. Florist: C'est le Bouquet, Verdun, +33 3 29 80 56 29")</f>
        <v>ABMC: order via florist to cemetery w/ Plot/Row/Grave; staff place &amp; photo. Florist: C'est le Bouquet, Verdun, +33 3 29 80 56 29</v>
      </c>
      <c r="H25" s="30" t="s">
        <v>40</v>
      </c>
      <c r="I25" s="19"/>
      <c r="J25" s="19"/>
      <c r="K25" s="19"/>
      <c r="L25" s="19"/>
      <c r="M25" s="19"/>
      <c r="N25" s="19"/>
      <c r="O25" s="19"/>
      <c r="P25" s="19"/>
      <c r="Q25" s="19"/>
      <c r="R25" s="19"/>
      <c r="S25" s="19"/>
      <c r="T25" s="19"/>
      <c r="U25" s="19"/>
      <c r="V25" s="19"/>
      <c r="W25" s="19"/>
      <c r="X25" s="19"/>
      <c r="Y25" s="19"/>
      <c r="Z25" s="19"/>
    </row>
    <row r="26">
      <c r="A26" s="19" t="str">
        <f>IFERROR(__xludf.DUMMYFUNCTION("""COMPUTED_VALUE"""),"Veterans Day or Memorial Day")</f>
        <v>Veterans Day or Memorial Day</v>
      </c>
      <c r="B26" s="19" t="str">
        <f>IFERROR(__xludf.DUMMYFUNCTION("""COMPUTED_VALUE"""),"Oise-Aisne American Cemetery")</f>
        <v>Oise-Aisne American Cemetery</v>
      </c>
      <c r="C26" s="19" t="str">
        <f>IFERROR(__xludf.DUMMYFUNCTION("""COMPUTED_VALUE"""),"Fere-en-Tardenois")</f>
        <v>Fere-en-Tardenois</v>
      </c>
      <c r="D26" s="19" t="str">
        <f>IFERROR(__xludf.DUMMYFUNCTION("""COMPUTED_VALUE"""),"France")</f>
        <v>France</v>
      </c>
      <c r="E26" s="19" t="str">
        <f>IFERROR(__xludf.DUMMYFUNCTION("""COMPUTED_VALUE"""),"ABMC - Oise-Aisne American Cemetery, Seringes-et-Nesles, France")</f>
        <v>ABMC - Oise-Aisne American Cemetery, Seringes-et-Nesles, France</v>
      </c>
      <c r="F26" s="19" t="str">
        <f>IFERROR(__xludf.DUMMYFUNCTION("""COMPUTED_VALUE"""),"+33 3 23 82 21 81; oise-aisne@abmc.gov")</f>
        <v>+33 3 23 82 21 81; oise-aisne@abmc.gov</v>
      </c>
      <c r="G26" s="19" t="str">
        <f>IFERROR(__xludf.DUMMYFUNCTION("""COMPUTED_VALUE"""),"ABMC: order via florist to cemetery w/ Plot/Row/Grave; staff place &amp; photo. Florist: Aux Fleurs de Tardenois, Fère-en-Tardenois, +33 3 23 82 39 12")</f>
        <v>ABMC: order via florist to cemetery w/ Plot/Row/Grave; staff place &amp; photo. Florist: Aux Fleurs de Tardenois, Fère-en-Tardenois, +33 3 23 82 39 12</v>
      </c>
      <c r="H26" s="30" t="s">
        <v>40</v>
      </c>
      <c r="I26" s="19"/>
      <c r="J26" s="19"/>
      <c r="K26" s="19"/>
      <c r="L26" s="19"/>
      <c r="M26" s="19"/>
      <c r="N26" s="19"/>
      <c r="O26" s="19"/>
      <c r="P26" s="19"/>
      <c r="Q26" s="19"/>
      <c r="R26" s="19"/>
      <c r="S26" s="19"/>
      <c r="T26" s="19"/>
      <c r="U26" s="19"/>
      <c r="V26" s="19"/>
      <c r="W26" s="19"/>
      <c r="X26" s="19"/>
      <c r="Y26" s="19"/>
      <c r="Z26" s="19"/>
    </row>
    <row r="27">
      <c r="A27" s="19" t="str">
        <f>IFERROR(__xludf.DUMMYFUNCTION("""COMPUTED_VALUE"""),"Veterans Day or Memorial Day")</f>
        <v>Veterans Day or Memorial Day</v>
      </c>
      <c r="B27" s="19" t="str">
        <f>IFERROR(__xludf.DUMMYFUNCTION("""COMPUTED_VALUE"""),"St. Mihiel American Cemetery")</f>
        <v>St. Mihiel American Cemetery</v>
      </c>
      <c r="C27" s="19" t="str">
        <f>IFERROR(__xludf.DUMMYFUNCTION("""COMPUTED_VALUE"""),"Thiaucourt")</f>
        <v>Thiaucourt</v>
      </c>
      <c r="D27" s="19" t="str">
        <f>IFERROR(__xludf.DUMMYFUNCTION("""COMPUTED_VALUE"""),"France")</f>
        <v>France</v>
      </c>
      <c r="E27" s="19" t="str">
        <f>IFERROR(__xludf.DUMMYFUNCTION("""COMPUTED_VALUE"""),"ABMC - St. Mihiel American Cemetery, Thiaucourt, France")</f>
        <v>ABMC - St. Mihiel American Cemetery, Thiaucourt, France</v>
      </c>
      <c r="F27" s="19" t="str">
        <f>IFERROR(__xludf.DUMMYFUNCTION("""COMPUTED_VALUE"""),"+33 3 83 80 01 01; saint-mihiel@abmc.gov")</f>
        <v>+33 3 83 80 01 01; saint-mihiel@abmc.gov</v>
      </c>
      <c r="G27" s="19" t="str">
        <f>IFERROR(__xludf.DUMMYFUNCTION("""COMPUTED_VALUE"""),"ABMC: order via florist to cemetery w/ Plot/Row/Grave; staff place &amp; photo. Florist: Le Jardin de Roger, Thiaucourt, +33 6 82 46 31 80")</f>
        <v>ABMC: order via florist to cemetery w/ Plot/Row/Grave; staff place &amp; photo. Florist: Le Jardin de Roger, Thiaucourt, +33 6 82 46 31 80</v>
      </c>
      <c r="H27" s="30" t="s">
        <v>40</v>
      </c>
      <c r="I27" s="19"/>
      <c r="J27" s="19"/>
      <c r="K27" s="19"/>
      <c r="L27" s="19"/>
      <c r="M27" s="19"/>
      <c r="N27" s="19"/>
      <c r="O27" s="19"/>
      <c r="P27" s="19"/>
      <c r="Q27" s="19"/>
      <c r="R27" s="19"/>
      <c r="S27" s="19"/>
      <c r="T27" s="19"/>
      <c r="U27" s="19"/>
      <c r="V27" s="19"/>
      <c r="W27" s="19"/>
      <c r="X27" s="19"/>
      <c r="Y27" s="19"/>
      <c r="Z27" s="19"/>
    </row>
    <row r="28">
      <c r="A28" s="19" t="str">
        <f>IFERROR(__xludf.DUMMYFUNCTION("""COMPUTED_VALUE"""),"Veterans Day or Memorial Day")</f>
        <v>Veterans Day or Memorial Day</v>
      </c>
      <c r="B28" s="19" t="str">
        <f>IFERROR(__xludf.DUMMYFUNCTION("""COMPUTED_VALUE"""),"Somme American Cemetery")</f>
        <v>Somme American Cemetery</v>
      </c>
      <c r="C28" s="19" t="str">
        <f>IFERROR(__xludf.DUMMYFUNCTION("""COMPUTED_VALUE"""),"Bony")</f>
        <v>Bony</v>
      </c>
      <c r="D28" s="19" t="str">
        <f>IFERROR(__xludf.DUMMYFUNCTION("""COMPUTED_VALUE"""),"France")</f>
        <v>France</v>
      </c>
      <c r="E28" s="19" t="str">
        <f>IFERROR(__xludf.DUMMYFUNCTION("""COMPUTED_VALUE"""),"ABMC - Somme American Cemetery, Bony, France")</f>
        <v>ABMC - Somme American Cemetery, Bony, France</v>
      </c>
      <c r="F28" s="19" t="str">
        <f>IFERROR(__xludf.DUMMYFUNCTION("""COMPUTED_VALUE"""),"+33 3 23 66 87 20; somme@abmc.gov")</f>
        <v>+33 3 23 66 87 20; somme@abmc.gov</v>
      </c>
      <c r="G28" s="19" t="str">
        <f>IFERROR(__xludf.DUMMYFUNCTION("""COMPUTED_VALUE"""),"ABMC: order via florist to cemetery w/ Plot/Row/Grave; staff place &amp; photo. Florist: Euroflorist or La Comédie des Fleurs (all-Europe)")</f>
        <v>ABMC: order via florist to cemetery w/ Plot/Row/Grave; staff place &amp; photo. Florist: Euroflorist or La Comédie des Fleurs (all-Europe)</v>
      </c>
      <c r="H28" s="30" t="s">
        <v>40</v>
      </c>
      <c r="I28" s="19"/>
      <c r="J28" s="19"/>
      <c r="K28" s="19"/>
      <c r="L28" s="19"/>
      <c r="M28" s="19"/>
      <c r="N28" s="19"/>
      <c r="O28" s="19"/>
      <c r="P28" s="19"/>
      <c r="Q28" s="19"/>
      <c r="R28" s="19"/>
      <c r="S28" s="19"/>
      <c r="T28" s="19"/>
      <c r="U28" s="19"/>
      <c r="V28" s="19"/>
      <c r="W28" s="19"/>
      <c r="X28" s="19"/>
      <c r="Y28" s="19"/>
      <c r="Z28" s="19"/>
    </row>
    <row r="29">
      <c r="A29" s="19" t="str">
        <f>IFERROR(__xludf.DUMMYFUNCTION("""COMPUTED_VALUE"""),"Veterans Day or Memorial Day")</f>
        <v>Veterans Day or Memorial Day</v>
      </c>
      <c r="B29" s="19" t="str">
        <f>IFERROR(__xludf.DUMMYFUNCTION("""COMPUTED_VALUE"""),"Suresnes American Cemetery")</f>
        <v>Suresnes American Cemetery</v>
      </c>
      <c r="C29" s="19" t="str">
        <f>IFERROR(__xludf.DUMMYFUNCTION("""COMPUTED_VALUE"""),"Suresnes")</f>
        <v>Suresnes</v>
      </c>
      <c r="D29" s="19" t="str">
        <f>IFERROR(__xludf.DUMMYFUNCTION("""COMPUTED_VALUE"""),"France")</f>
        <v>France</v>
      </c>
      <c r="E29" s="19" t="str">
        <f>IFERROR(__xludf.DUMMYFUNCTION("""COMPUTED_VALUE"""),"ABMC - Suresnes American Cemetery, Blvd Washington, Suresnes, France")</f>
        <v>ABMC - Suresnes American Cemetery, Blvd Washington, Suresnes, France</v>
      </c>
      <c r="F29" s="19" t="str">
        <f>IFERROR(__xludf.DUMMYFUNCTION("""COMPUTED_VALUE"""),"+33 1 46 25 01 70; suresnes@abmc.gov")</f>
        <v>+33 1 46 25 01 70; suresnes@abmc.gov</v>
      </c>
      <c r="G29" s="19" t="str">
        <f>IFERROR(__xludf.DUMMYFUNCTION("""COMPUTED_VALUE"""),"ABMC: order via florist to cemetery w/ Plot/Row/Grave; staff place &amp; photo. Florist: Aude Rose, Suresnes, +33 1 47 72 49 31")</f>
        <v>ABMC: order via florist to cemetery w/ Plot/Row/Grave; staff place &amp; photo. Florist: Aude Rose, Suresnes, +33 1 47 72 49 31</v>
      </c>
      <c r="H29" s="30" t="s">
        <v>40</v>
      </c>
      <c r="I29" s="19"/>
      <c r="J29" s="19"/>
      <c r="K29" s="19"/>
      <c r="L29" s="19"/>
      <c r="M29" s="19"/>
      <c r="N29" s="19"/>
      <c r="O29" s="19"/>
      <c r="P29" s="19"/>
      <c r="Q29" s="19"/>
      <c r="R29" s="19"/>
      <c r="S29" s="19"/>
      <c r="T29" s="19"/>
      <c r="U29" s="19"/>
      <c r="V29" s="19"/>
      <c r="W29" s="19"/>
      <c r="X29" s="19"/>
      <c r="Y29" s="19"/>
      <c r="Z29" s="19"/>
    </row>
    <row r="30">
      <c r="A30" s="19" t="str">
        <f>IFERROR(__xludf.DUMMYFUNCTION("""COMPUTED_VALUE"""),"Veterans Day or Memorial Day")</f>
        <v>Veterans Day or Memorial Day</v>
      </c>
      <c r="B30" s="19" t="str">
        <f>IFERROR(__xludf.DUMMYFUNCTION("""COMPUTED_VALUE"""),"Henri-Chapelle American Cemetery")</f>
        <v>Henri-Chapelle American Cemetery</v>
      </c>
      <c r="C30" s="19" t="str">
        <f>IFERROR(__xludf.DUMMYFUNCTION("""COMPUTED_VALUE"""),"Henri-Chapelle")</f>
        <v>Henri-Chapelle</v>
      </c>
      <c r="D30" s="19" t="str">
        <f>IFERROR(__xludf.DUMMYFUNCTION("""COMPUTED_VALUE"""),"Belgium")</f>
        <v>Belgium</v>
      </c>
      <c r="E30" s="19" t="str">
        <f>IFERROR(__xludf.DUMMYFUNCTION("""COMPUTED_VALUE"""),"ABMC - Henri-Chapelle American Cemetery, Hombourg, Belgium")</f>
        <v>ABMC - Henri-Chapelle American Cemetery, Hombourg, Belgium</v>
      </c>
      <c r="F30" s="19" t="str">
        <f>IFERROR(__xludf.DUMMYFUNCTION("""COMPUTED_VALUE"""),"+32 87 68 71 73; email via publicaffairs@abmc.gov")</f>
        <v>+32 87 68 71 73; email via publicaffairs@abmc.gov</v>
      </c>
      <c r="G30" s="19" t="str">
        <f>IFERROR(__xludf.DUMMYFUNCTION("""COMPUTED_VALUE"""),"ABMC: order via florist, deliver to cemetery w/ Plot/Row/Grave; staff place &amp; photo on request. Florist: Flori Anne, Henri-Chapelle")</f>
        <v>ABMC: order via florist, deliver to cemetery w/ Plot/Row/Grave; staff place &amp; photo on request. Florist: Flori Anne, Henri-Chapelle</v>
      </c>
      <c r="H30" s="30" t="s">
        <v>40</v>
      </c>
      <c r="I30" s="19"/>
      <c r="J30" s="19"/>
      <c r="K30" s="19"/>
      <c r="L30" s="19"/>
      <c r="M30" s="19"/>
      <c r="N30" s="19"/>
      <c r="O30" s="19"/>
      <c r="P30" s="19"/>
      <c r="Q30" s="19"/>
      <c r="R30" s="19"/>
      <c r="S30" s="19"/>
      <c r="T30" s="19"/>
      <c r="U30" s="19"/>
      <c r="V30" s="19"/>
      <c r="W30" s="19"/>
      <c r="X30" s="19"/>
      <c r="Y30" s="19"/>
      <c r="Z30" s="19"/>
    </row>
    <row r="31">
      <c r="A31" s="19" t="str">
        <f>IFERROR(__xludf.DUMMYFUNCTION("""COMPUTED_VALUE"""),"Veterans Day or Memorial Day")</f>
        <v>Veterans Day or Memorial Day</v>
      </c>
      <c r="B31" s="19" t="str">
        <f>IFERROR(__xludf.DUMMYFUNCTION("""COMPUTED_VALUE"""),"Ardennes American Cemetery")</f>
        <v>Ardennes American Cemetery</v>
      </c>
      <c r="C31" s="19" t="str">
        <f>IFERROR(__xludf.DUMMYFUNCTION("""COMPUTED_VALUE"""),"Neuville-en-Condroz")</f>
        <v>Neuville-en-Condroz</v>
      </c>
      <c r="D31" s="19" t="str">
        <f>IFERROR(__xludf.DUMMYFUNCTION("""COMPUTED_VALUE"""),"Belgium")</f>
        <v>Belgium</v>
      </c>
      <c r="E31" s="19" t="str">
        <f>IFERROR(__xludf.DUMMYFUNCTION("""COMPUTED_VALUE"""),"ABMC - Ardennes American Cemetery, Neupré, Belgium")</f>
        <v>ABMC - Ardennes American Cemetery, Neupré, Belgium</v>
      </c>
      <c r="F31" s="19" t="str">
        <f>IFERROR(__xludf.DUMMYFUNCTION("""COMPUTED_VALUE"""),"phone/email via publicaffairs@abmc.gov [verify]")</f>
        <v>phone/email via publicaffairs@abmc.gov [verify]</v>
      </c>
      <c r="G31" s="19" t="str">
        <f>IFERROR(__xludf.DUMMYFUNCTION("""COMPUTED_VALUE"""),"ABMC: order via florist to cemetery w/ Plot/Row/Grave; staff place &amp; photo. Florist: Orkhis or Le Panier Fleuri")</f>
        <v>ABMC: order via florist to cemetery w/ Plot/Row/Grave; staff place &amp; photo. Florist: Orkhis or Le Panier Fleuri</v>
      </c>
      <c r="H31" s="30" t="s">
        <v>40</v>
      </c>
      <c r="I31" s="19"/>
      <c r="J31" s="19"/>
      <c r="K31" s="19"/>
      <c r="L31" s="19"/>
      <c r="M31" s="19"/>
      <c r="N31" s="19"/>
      <c r="O31" s="19"/>
      <c r="P31" s="19"/>
      <c r="Q31" s="19"/>
      <c r="R31" s="19"/>
      <c r="S31" s="19"/>
      <c r="T31" s="19"/>
      <c r="U31" s="19"/>
      <c r="V31" s="19"/>
      <c r="W31" s="19"/>
      <c r="X31" s="19"/>
      <c r="Y31" s="19"/>
      <c r="Z31" s="19"/>
    </row>
    <row r="32">
      <c r="A32" s="19" t="str">
        <f>IFERROR(__xludf.DUMMYFUNCTION("""COMPUTED_VALUE"""),"Veterans Day or Memorial Day")</f>
        <v>Veterans Day or Memorial Day</v>
      </c>
      <c r="B32" s="19" t="str">
        <f>IFERROR(__xludf.DUMMYFUNCTION("""COMPUTED_VALUE"""),"Epinal American Cemetery")</f>
        <v>Epinal American Cemetery</v>
      </c>
      <c r="C32" s="19" t="str">
        <f>IFERROR(__xludf.DUMMYFUNCTION("""COMPUTED_VALUE"""),"Dinoze (Epinal)")</f>
        <v>Dinoze (Epinal)</v>
      </c>
      <c r="D32" s="19" t="str">
        <f>IFERROR(__xludf.DUMMYFUNCTION("""COMPUTED_VALUE"""),"France")</f>
        <v>France</v>
      </c>
      <c r="E32" s="19" t="str">
        <f>IFERROR(__xludf.DUMMYFUNCTION("""COMPUTED_VALUE"""),"ABMC - Epinal American Cemetery, Dinozé, France")</f>
        <v>ABMC - Epinal American Cemetery, Dinozé, France</v>
      </c>
      <c r="F32" s="19" t="str">
        <f>IFERROR(__xludf.DUMMYFUNCTION("""COMPUTED_VALUE"""),"+33 3 29 82 04 75; epinal@abmc.gov")</f>
        <v>+33 3 29 82 04 75; epinal@abmc.gov</v>
      </c>
      <c r="G32" s="19" t="str">
        <f>IFERROR(__xludf.DUMMYFUNCTION("""COMPUTED_VALUE"""),"ABMC: order via florist to cemetery w/ Plot/Row/Grave; staff place &amp; photo. Florist: La Comédie des Fleurs, Epinal, +33 3 29 64 36 43")</f>
        <v>ABMC: order via florist to cemetery w/ Plot/Row/Grave; staff place &amp; photo. Florist: La Comédie des Fleurs, Epinal, +33 3 29 64 36 43</v>
      </c>
      <c r="H32" s="30" t="s">
        <v>40</v>
      </c>
      <c r="I32" s="19"/>
      <c r="J32" s="19"/>
      <c r="K32" s="19"/>
      <c r="L32" s="19"/>
      <c r="M32" s="19"/>
      <c r="N32" s="19"/>
      <c r="O32" s="19"/>
      <c r="P32" s="19"/>
      <c r="Q32" s="19"/>
      <c r="R32" s="19"/>
      <c r="S32" s="19"/>
      <c r="T32" s="19"/>
      <c r="U32" s="19"/>
      <c r="V32" s="19"/>
      <c r="W32" s="19"/>
      <c r="X32" s="19"/>
      <c r="Y32" s="19"/>
      <c r="Z32" s="19"/>
    </row>
    <row r="33">
      <c r="A33" s="19" t="str">
        <f>IFERROR(__xludf.DUMMYFUNCTION("""COMPUTED_VALUE"""),"Veterans Day or Memorial Day")</f>
        <v>Veterans Day or Memorial Day</v>
      </c>
      <c r="B33" s="19" t="str">
        <f>IFERROR(__xludf.DUMMYFUNCTION("""COMPUTED_VALUE"""),"Lorraine American Cemetery")</f>
        <v>Lorraine American Cemetery</v>
      </c>
      <c r="C33" s="19" t="str">
        <f>IFERROR(__xludf.DUMMYFUNCTION("""COMPUTED_VALUE"""),"Saint-Avold")</f>
        <v>Saint-Avold</v>
      </c>
      <c r="D33" s="19" t="str">
        <f>IFERROR(__xludf.DUMMYFUNCTION("""COMPUTED_VALUE"""),"France")</f>
        <v>France</v>
      </c>
      <c r="E33" s="19" t="str">
        <f>IFERROR(__xludf.DUMMYFUNCTION("""COMPUTED_VALUE"""),"ABMC - Lorraine American Cemetery, Saint-Avold, France")</f>
        <v>ABMC - Lorraine American Cemetery, Saint-Avold, France</v>
      </c>
      <c r="F33" s="19" t="str">
        <f>IFERROR(__xludf.DUMMYFUNCTION("""COMPUTED_VALUE"""),"+33 3 87 92 07 32; lorraine@abmc.gov")</f>
        <v>+33 3 87 92 07 32; lorraine@abmc.gov</v>
      </c>
      <c r="G33" s="19" t="str">
        <f>IFERROR(__xludf.DUMMYFUNCTION("""COMPUTED_VALUE"""),"ABMC: order via florist to cemetery w/ Plot/Row/Grave; staff place &amp; photo. Florist: Joli Bois, St-Avold")</f>
        <v>ABMC: order via florist to cemetery w/ Plot/Row/Grave; staff place &amp; photo. Florist: Joli Bois, St-Avold</v>
      </c>
      <c r="H33" s="30" t="s">
        <v>40</v>
      </c>
      <c r="I33" s="19"/>
      <c r="J33" s="19"/>
      <c r="K33" s="19"/>
      <c r="L33" s="19"/>
      <c r="M33" s="19"/>
      <c r="N33" s="19"/>
      <c r="O33" s="19"/>
      <c r="P33" s="19"/>
      <c r="Q33" s="19"/>
      <c r="R33" s="19"/>
      <c r="S33" s="19"/>
      <c r="T33" s="19"/>
      <c r="U33" s="19"/>
      <c r="V33" s="19"/>
      <c r="W33" s="19"/>
      <c r="X33" s="19"/>
      <c r="Y33" s="19"/>
      <c r="Z33" s="19"/>
    </row>
    <row r="34">
      <c r="A34" s="19" t="str">
        <f>IFERROR(__xludf.DUMMYFUNCTION("""COMPUTED_VALUE"""),"Veterans Day or Memorial Day")</f>
        <v>Veterans Day or Memorial Day</v>
      </c>
      <c r="B34" s="19" t="str">
        <f>IFERROR(__xludf.DUMMYFUNCTION("""COMPUTED_VALUE"""),"Rhone American Cemetery")</f>
        <v>Rhone American Cemetery</v>
      </c>
      <c r="C34" s="19" t="str">
        <f>IFERROR(__xludf.DUMMYFUNCTION("""COMPUTED_VALUE"""),"Draguignan")</f>
        <v>Draguignan</v>
      </c>
      <c r="D34" s="19" t="str">
        <f>IFERROR(__xludf.DUMMYFUNCTION("""COMPUTED_VALUE"""),"France")</f>
        <v>France</v>
      </c>
      <c r="E34" s="19" t="str">
        <f>IFERROR(__xludf.DUMMYFUNCTION("""COMPUTED_VALUE"""),"ABMC - Rhone American Cemetery, Draguignan, France")</f>
        <v>ABMC - Rhone American Cemetery, Draguignan, France</v>
      </c>
      <c r="F34" s="19" t="str">
        <f>IFERROR(__xludf.DUMMYFUNCTION("""COMPUTED_VALUE"""),"+33 4 94 68 03 62; rhone@abmc.gov")</f>
        <v>+33 4 94 68 03 62; rhone@abmc.gov</v>
      </c>
      <c r="G34" s="19" t="str">
        <f>IFERROR(__xludf.DUMMYFUNCTION("""COMPUTED_VALUE"""),"ABMC: order via florist to cemetery w/ Plot/Row/Grave; staff place &amp; photo. Florist: Le Jardin des Fleurs, Draguignan, +33 9 70 24 11 24")</f>
        <v>ABMC: order via florist to cemetery w/ Plot/Row/Grave; staff place &amp; photo. Florist: Le Jardin des Fleurs, Draguignan, +33 9 70 24 11 24</v>
      </c>
      <c r="H34" s="30" t="s">
        <v>40</v>
      </c>
      <c r="I34" s="19"/>
      <c r="J34" s="19"/>
      <c r="K34" s="19"/>
      <c r="L34" s="19"/>
      <c r="M34" s="19"/>
      <c r="N34" s="19"/>
      <c r="O34" s="19"/>
      <c r="P34" s="19"/>
      <c r="Q34" s="19"/>
      <c r="R34" s="19"/>
      <c r="S34" s="19"/>
      <c r="T34" s="19"/>
      <c r="U34" s="19"/>
      <c r="V34" s="19"/>
      <c r="W34" s="19"/>
      <c r="X34" s="19"/>
      <c r="Y34" s="19"/>
      <c r="Z34" s="19"/>
    </row>
    <row r="35">
      <c r="A35" s="19" t="str">
        <f>IFERROR(__xludf.DUMMYFUNCTION("""COMPUTED_VALUE"""),"Veterans Day or Memorial Day")</f>
        <v>Veterans Day or Memorial Day</v>
      </c>
      <c r="B35" s="19" t="str">
        <f>IFERROR(__xludf.DUMMYFUNCTION("""COMPUTED_VALUE"""),"Luxembourg American Cemetery")</f>
        <v>Luxembourg American Cemetery</v>
      </c>
      <c r="C35" s="19" t="str">
        <f>IFERROR(__xludf.DUMMYFUNCTION("""COMPUTED_VALUE"""),"Luxembourg City (Hamm)")</f>
        <v>Luxembourg City (Hamm)</v>
      </c>
      <c r="D35" s="19" t="str">
        <f>IFERROR(__xludf.DUMMYFUNCTION("""COMPUTED_VALUE"""),"Luxembourg")</f>
        <v>Luxembourg</v>
      </c>
      <c r="E35" s="19" t="str">
        <f>IFERROR(__xludf.DUMMYFUNCTION("""COMPUTED_VALUE"""),"ABMC - Luxembourg American Cemetery, Hamm")</f>
        <v>ABMC - Luxembourg American Cemetery, Hamm</v>
      </c>
      <c r="F35" s="19" t="str">
        <f>IFERROR(__xludf.DUMMYFUNCTION("""COMPUTED_VALUE"""),"+352 43 17 27; luxembourg@abmc.gov")</f>
        <v>+352 43 17 27; luxembourg@abmc.gov</v>
      </c>
      <c r="G35" s="19" t="str">
        <f>IFERROR(__xludf.DUMMYFUNCTION("""COMPUTED_VALUE"""),"ABMC: order via florist to cemetery w/ Plot/Row/Grave; staff place &amp; photo. Florist: Fleurs François Klop, +352 22 33 31")</f>
        <v>ABMC: order via florist to cemetery w/ Plot/Row/Grave; staff place &amp; photo. Florist: Fleurs François Klop, +352 22 33 31</v>
      </c>
      <c r="H35" s="30" t="s">
        <v>40</v>
      </c>
      <c r="I35" s="19"/>
      <c r="J35" s="19"/>
      <c r="K35" s="19"/>
      <c r="L35" s="19"/>
      <c r="M35" s="19"/>
      <c r="N35" s="19"/>
      <c r="O35" s="19"/>
      <c r="P35" s="19"/>
      <c r="Q35" s="19"/>
      <c r="R35" s="19"/>
      <c r="S35" s="19"/>
      <c r="T35" s="19"/>
      <c r="U35" s="19"/>
      <c r="V35" s="19"/>
      <c r="W35" s="19"/>
      <c r="X35" s="19"/>
      <c r="Y35" s="19"/>
      <c r="Z35" s="19"/>
    </row>
    <row r="36">
      <c r="A36" s="19" t="str">
        <f>IFERROR(__xludf.DUMMYFUNCTION("""COMPUTED_VALUE"""),"Veterans Day or Memorial Day")</f>
        <v>Veterans Day or Memorial Day</v>
      </c>
      <c r="B36" s="19" t="str">
        <f>IFERROR(__xludf.DUMMYFUNCTION("""COMPUTED_VALUE"""),"Netherlands American Cemetery")</f>
        <v>Netherlands American Cemetery</v>
      </c>
      <c r="C36" s="19" t="str">
        <f>IFERROR(__xludf.DUMMYFUNCTION("""COMPUTED_VALUE"""),"Margraten")</f>
        <v>Margraten</v>
      </c>
      <c r="D36" s="19" t="str">
        <f>IFERROR(__xludf.DUMMYFUNCTION("""COMPUTED_VALUE"""),"Netherlands")</f>
        <v>Netherlands</v>
      </c>
      <c r="E36" s="19" t="str">
        <f>IFERROR(__xludf.DUMMYFUNCTION("""COMPUTED_VALUE"""),"ABMC - Netherlands American Cemetery, Margraten")</f>
        <v>ABMC - Netherlands American Cemetery, Margraten</v>
      </c>
      <c r="F36" s="19" t="str">
        <f>IFERROR(__xludf.DUMMYFUNCTION("""COMPUTED_VALUE"""),"+31 43 45 81 208; Netherlands@abmc.gov")</f>
        <v>+31 43 45 81 208; Netherlands@abmc.gov</v>
      </c>
      <c r="G36" s="19" t="str">
        <f>IFERROR(__xludf.DUMMYFUNCTION("""COMPUTED_VALUE"""),"ABMC: order via florist to cemetery w/ Plot/Row/Grave; staff place &amp; photo. Florist: Anemoontje, Margraten, +31 43 458 9199")</f>
        <v>ABMC: order via florist to cemetery w/ Plot/Row/Grave; staff place &amp; photo. Florist: Anemoontje, Margraten, +31 43 458 9199</v>
      </c>
      <c r="H36" s="30" t="s">
        <v>40</v>
      </c>
      <c r="I36" s="19"/>
      <c r="J36" s="19"/>
      <c r="K36" s="19"/>
      <c r="L36" s="19"/>
      <c r="M36" s="19"/>
      <c r="N36" s="19"/>
      <c r="O36" s="19"/>
      <c r="P36" s="19"/>
      <c r="Q36" s="19"/>
      <c r="R36" s="19"/>
      <c r="S36" s="19"/>
      <c r="T36" s="19"/>
      <c r="U36" s="19"/>
      <c r="V36" s="19"/>
      <c r="W36" s="19"/>
      <c r="X36" s="19"/>
      <c r="Y36" s="19"/>
      <c r="Z36" s="19"/>
    </row>
    <row r="37">
      <c r="H37" s="27" t="s">
        <v>523</v>
      </c>
    </row>
    <row r="38">
      <c r="H38" s="27" t="s">
        <v>523</v>
      </c>
    </row>
    <row r="39">
      <c r="H39" s="27" t="s">
        <v>523</v>
      </c>
    </row>
    <row r="40">
      <c r="H40" s="27" t="s">
        <v>523</v>
      </c>
    </row>
    <row r="41">
      <c r="H41" s="27" t="s">
        <v>523</v>
      </c>
    </row>
    <row r="42">
      <c r="H42" s="27" t="s">
        <v>523</v>
      </c>
    </row>
    <row r="43">
      <c r="H43" s="27" t="s">
        <v>523</v>
      </c>
    </row>
    <row r="44">
      <c r="H44" s="27" t="s">
        <v>523</v>
      </c>
    </row>
    <row r="45">
      <c r="H45" s="27" t="s">
        <v>523</v>
      </c>
    </row>
    <row r="46">
      <c r="H46" s="27" t="s">
        <v>523</v>
      </c>
    </row>
    <row r="47">
      <c r="H47" s="27" t="s">
        <v>523</v>
      </c>
    </row>
    <row r="48">
      <c r="H48" s="27" t="s">
        <v>523</v>
      </c>
    </row>
    <row r="49">
      <c r="H49" s="27" t="s">
        <v>523</v>
      </c>
    </row>
    <row r="50">
      <c r="H50" s="27" t="s">
        <v>523</v>
      </c>
    </row>
    <row r="51">
      <c r="H51" s="27" t="s">
        <v>523</v>
      </c>
    </row>
    <row r="52">
      <c r="H52" s="27" t="s">
        <v>523</v>
      </c>
    </row>
    <row r="53">
      <c r="H53" s="27" t="s">
        <v>523</v>
      </c>
    </row>
    <row r="54">
      <c r="H54" s="27" t="s">
        <v>523</v>
      </c>
    </row>
    <row r="55">
      <c r="H55" s="27" t="s">
        <v>523</v>
      </c>
    </row>
    <row r="56">
      <c r="H56" s="27" t="s">
        <v>523</v>
      </c>
    </row>
    <row r="57">
      <c r="H57" s="27" t="s">
        <v>523</v>
      </c>
    </row>
    <row r="58">
      <c r="H58" s="27" t="s">
        <v>523</v>
      </c>
    </row>
    <row r="59">
      <c r="H59" s="27" t="s">
        <v>523</v>
      </c>
    </row>
    <row r="60">
      <c r="H60" s="27" t="s">
        <v>523</v>
      </c>
    </row>
    <row r="61">
      <c r="H61" s="27" t="s">
        <v>523</v>
      </c>
    </row>
    <row r="62">
      <c r="H62" s="27" t="s">
        <v>523</v>
      </c>
    </row>
    <row r="63">
      <c r="H63" s="27" t="s">
        <v>523</v>
      </c>
    </row>
    <row r="64">
      <c r="H64" s="27" t="s">
        <v>523</v>
      </c>
    </row>
    <row r="65">
      <c r="H65" s="27" t="s">
        <v>523</v>
      </c>
    </row>
    <row r="66">
      <c r="H66" s="27" t="s">
        <v>523</v>
      </c>
    </row>
    <row r="67">
      <c r="H67" s="27" t="s">
        <v>523</v>
      </c>
    </row>
    <row r="68">
      <c r="H68" s="27" t="s">
        <v>523</v>
      </c>
    </row>
    <row r="69">
      <c r="H69" s="27" t="s">
        <v>523</v>
      </c>
    </row>
    <row r="70">
      <c r="H70" s="27" t="s">
        <v>523</v>
      </c>
    </row>
    <row r="71">
      <c r="H71" s="27" t="s">
        <v>523</v>
      </c>
    </row>
    <row r="72">
      <c r="H72" s="27" t="s">
        <v>523</v>
      </c>
    </row>
    <row r="73">
      <c r="H73" s="27" t="s">
        <v>523</v>
      </c>
    </row>
    <row r="74">
      <c r="H74" s="27" t="s">
        <v>523</v>
      </c>
    </row>
    <row r="75">
      <c r="H75" s="27" t="s">
        <v>523</v>
      </c>
    </row>
    <row r="76">
      <c r="H76" s="27" t="s">
        <v>523</v>
      </c>
    </row>
    <row r="77">
      <c r="H77" s="27" t="s">
        <v>523</v>
      </c>
    </row>
    <row r="78">
      <c r="H78" s="27" t="s">
        <v>523</v>
      </c>
    </row>
    <row r="79">
      <c r="H79" s="27" t="s">
        <v>523</v>
      </c>
    </row>
    <row r="80">
      <c r="H80" s="27" t="s">
        <v>523</v>
      </c>
    </row>
  </sheetData>
  <hyperlinks>
    <hyperlink r:id="rId1" ref="H5"/>
    <hyperlink r:id="rId2" ref="H6"/>
    <hyperlink r:id="rId3" ref="H7"/>
    <hyperlink r:id="rId4" ref="H8"/>
    <hyperlink r:id="rId5" ref="H9"/>
    <hyperlink r:id="rId6" ref="H10"/>
    <hyperlink r:id="rId7" ref="H11"/>
    <hyperlink r:id="rId8" ref="H12"/>
    <hyperlink r:id="rId9" ref="H13"/>
    <hyperlink r:id="rId10" ref="H14"/>
    <hyperlink r:id="rId11" ref="H15"/>
    <hyperlink r:id="rId12" ref="H16"/>
    <hyperlink r:id="rId13" ref="H17"/>
    <hyperlink r:id="rId14" ref="H18"/>
    <hyperlink r:id="rId15" ref="H19"/>
    <hyperlink r:id="rId16" ref="H20"/>
    <hyperlink r:id="rId17" ref="H21"/>
    <hyperlink r:id="rId18" ref="H22"/>
    <hyperlink r:id="rId19" ref="H23"/>
    <hyperlink r:id="rId20" ref="H24"/>
    <hyperlink r:id="rId21" ref="H25"/>
    <hyperlink r:id="rId22" ref="H26"/>
    <hyperlink r:id="rId23" ref="H27"/>
    <hyperlink r:id="rId24" ref="H28"/>
    <hyperlink r:id="rId25" ref="H29"/>
    <hyperlink r:id="rId26" ref="H30"/>
    <hyperlink r:id="rId27" ref="H31"/>
    <hyperlink r:id="rId28" ref="H32"/>
    <hyperlink r:id="rId29" ref="H33"/>
    <hyperlink r:id="rId30" ref="H34"/>
    <hyperlink r:id="rId31" ref="H35"/>
    <hyperlink r:id="rId32" ref="H36"/>
  </hyperlinks>
  <drawing r:id="rId3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4.43" defaultRowHeight="15.0"/>
  <sheetData>
    <row r="1">
      <c r="A1" s="37" t="s">
        <v>478</v>
      </c>
      <c r="B1" s="24"/>
      <c r="C1" s="24"/>
      <c r="D1" s="24"/>
      <c r="E1" s="24"/>
      <c r="F1" s="24"/>
      <c r="G1" s="24"/>
      <c r="H1" s="24"/>
      <c r="I1" s="24"/>
      <c r="J1" s="24"/>
      <c r="K1" s="24"/>
      <c r="L1" s="24"/>
      <c r="M1" s="24"/>
      <c r="N1" s="24"/>
      <c r="O1" s="24"/>
      <c r="P1" s="24"/>
      <c r="Q1" s="24"/>
      <c r="R1" s="24"/>
      <c r="S1" s="24"/>
      <c r="T1" s="24"/>
      <c r="U1" s="24"/>
      <c r="V1" s="24"/>
      <c r="W1" s="24"/>
      <c r="X1" s="24"/>
      <c r="Y1" s="24"/>
      <c r="Z1" s="24"/>
    </row>
    <row r="3">
      <c r="A3" s="9" t="str">
        <f t="array" ref="A3:K3">{"Year","Date Sent","Site / Memorial","City / Town","Country","Occasion","Ordered","Florist Used","Cost","Confirmation / Photo","Notes"}</f>
        <v>Year</v>
      </c>
      <c r="B3" s="9" t="s">
        <v>507</v>
      </c>
      <c r="C3" s="9" t="s">
        <v>508</v>
      </c>
      <c r="D3" s="9" t="s">
        <v>20</v>
      </c>
      <c r="E3" s="9" t="s">
        <v>16</v>
      </c>
      <c r="F3" s="9" t="s">
        <v>510</v>
      </c>
      <c r="G3" s="9" t="s">
        <v>512</v>
      </c>
      <c r="H3" s="9" t="s">
        <v>513</v>
      </c>
      <c r="I3" s="9" t="s">
        <v>515</v>
      </c>
      <c r="J3" s="9" t="s">
        <v>517</v>
      </c>
      <c r="K3" s="9" t="s">
        <v>518</v>
      </c>
    </row>
  </sheetData>
  <drawing r:id="rId1"/>
</worksheet>
</file>